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defaultThemeVersion="124226"/>
  <mc:AlternateContent xmlns:mc="http://schemas.openxmlformats.org/markup-compatibility/2006">
    <mc:Choice Requires="x15">
      <x15ac:absPath xmlns:x15ac="http://schemas.microsoft.com/office/spreadsheetml/2010/11/ac" url="C:\Users\30594\Desktop\"/>
    </mc:Choice>
  </mc:AlternateContent>
  <xr:revisionPtr revIDLastSave="0" documentId="13_ncr:1_{FB994ADA-D912-4E0F-B74B-AB88E9914B38}" xr6:coauthVersionLast="36" xr6:coauthVersionMax="36" xr10:uidLastSave="{00000000-0000-0000-0000-000000000000}"/>
  <bookViews>
    <workbookView xWindow="0" yWindow="0" windowWidth="17415" windowHeight="4380" xr2:uid="{00000000-000D-0000-FFFF-FFFF00000000}"/>
  </bookViews>
  <sheets>
    <sheet name="試算入力用" sheetId="6" r:id="rId1"/>
    <sheet name="試算～1000" sheetId="3" state="hidden" r:id="rId2"/>
    <sheet name="試算1000～2000" sheetId="4" state="hidden" r:id="rId3"/>
    <sheet name="試算2000～" sheetId="5" state="hidden" r:id="rId4"/>
  </sheets>
  <definedNames>
    <definedName name="_xlnm.Print_Area" localSheetId="1">'試算～1000'!$A:$AE</definedName>
    <definedName name="_xlnm.Print_Area" localSheetId="2">'試算1000～2000'!$A:$AE</definedName>
    <definedName name="_xlnm.Print_Area" localSheetId="3">'試算2000～'!$A:$AE</definedName>
    <definedName name="_xlnm.Print_Area" localSheetId="0">試算入力用!$A$1:$AF$55</definedName>
  </definedNames>
  <calcPr calcId="191029"/>
</workbook>
</file>

<file path=xl/calcChain.xml><?xml version="1.0" encoding="utf-8"?>
<calcChain xmlns="http://schemas.openxmlformats.org/spreadsheetml/2006/main">
  <c r="AJ18" i="6" l="1"/>
  <c r="AJ26" i="6" l="1"/>
  <c r="AL18" i="6"/>
  <c r="AP18" i="6" s="1"/>
  <c r="CE21" i="6"/>
  <c r="CB21" i="6"/>
  <c r="BY21" i="6"/>
  <c r="BV21" i="6"/>
  <c r="BS21" i="6"/>
  <c r="CE22" i="6"/>
  <c r="CB22" i="6"/>
  <c r="BY22" i="6"/>
  <c r="BV22" i="6"/>
  <c r="BS22" i="6"/>
  <c r="CE20" i="6"/>
  <c r="CB20" i="6"/>
  <c r="BY20" i="6"/>
  <c r="BV20" i="6"/>
  <c r="BS20" i="6"/>
  <c r="CE19" i="6"/>
  <c r="CB19" i="6"/>
  <c r="BY19" i="6"/>
  <c r="BV19" i="6"/>
  <c r="BS19" i="6"/>
  <c r="CE18" i="6"/>
  <c r="CB18" i="6"/>
  <c r="BY18" i="6"/>
  <c r="BV18" i="6"/>
  <c r="BS18" i="6"/>
  <c r="AX26" i="6"/>
  <c r="AN26" i="6"/>
  <c r="AM26" i="6"/>
  <c r="AX24" i="6"/>
  <c r="AN24" i="6"/>
  <c r="AM24" i="6"/>
  <c r="AJ24" i="6"/>
  <c r="AX22" i="6"/>
  <c r="AN22" i="6"/>
  <c r="AM22" i="6"/>
  <c r="AJ22" i="6"/>
  <c r="AX20" i="6"/>
  <c r="AN20" i="6"/>
  <c r="AM20" i="6"/>
  <c r="AJ20" i="6"/>
  <c r="AL20" i="6" s="1"/>
  <c r="AX18" i="6"/>
  <c r="AN18" i="6"/>
  <c r="AM18" i="6"/>
  <c r="AP20" i="6" l="1"/>
  <c r="AO20" i="6"/>
  <c r="AO18" i="6"/>
  <c r="AO22" i="6"/>
  <c r="AO26" i="6"/>
  <c r="AO24" i="6"/>
  <c r="AL26" i="6"/>
  <c r="AP26" i="6" s="1"/>
  <c r="AL24" i="6"/>
  <c r="AP24" i="6" s="1"/>
  <c r="AL22" i="6"/>
  <c r="AP22" i="6" s="1"/>
  <c r="AJ54" i="6" l="1"/>
  <c r="AJ56" i="6"/>
  <c r="AJ58" i="6"/>
  <c r="AJ60" i="6"/>
  <c r="AJ52" i="6"/>
  <c r="AJ63" i="6" l="1"/>
  <c r="AA42" i="6"/>
  <c r="AA40" i="6"/>
  <c r="X40" i="6"/>
  <c r="AA38" i="6"/>
  <c r="X38" i="6"/>
  <c r="AA36" i="6"/>
  <c r="X36" i="6"/>
  <c r="K50" i="6" l="1"/>
  <c r="K49" i="6"/>
  <c r="CW21" i="6" l="1"/>
  <c r="T42" i="6" l="1"/>
  <c r="T40" i="6"/>
  <c r="DF20" i="6" l="1"/>
  <c r="CW24" i="6"/>
  <c r="B1" i="6" l="1"/>
  <c r="U26" i="3" l="1"/>
  <c r="P26" i="3"/>
  <c r="K26" i="3"/>
  <c r="H26" i="3"/>
  <c r="E26" i="3"/>
  <c r="U24" i="3"/>
  <c r="P24" i="3"/>
  <c r="K24" i="3"/>
  <c r="H24" i="3"/>
  <c r="E24" i="3"/>
  <c r="U22" i="3"/>
  <c r="P22" i="3"/>
  <c r="K22" i="3"/>
  <c r="H22" i="3"/>
  <c r="E22" i="3"/>
  <c r="U20" i="3"/>
  <c r="P20" i="3"/>
  <c r="K20" i="3"/>
  <c r="H20" i="3"/>
  <c r="E20" i="3"/>
  <c r="U18" i="3"/>
  <c r="P18" i="3"/>
  <c r="CW28" i="3" s="1"/>
  <c r="K18" i="3"/>
  <c r="H18" i="3"/>
  <c r="E18" i="3"/>
  <c r="U26" i="5"/>
  <c r="AX26" i="5" s="1"/>
  <c r="P26" i="5"/>
  <c r="DI28" i="5" s="1"/>
  <c r="K26" i="5"/>
  <c r="CE25" i="5" s="1"/>
  <c r="H26" i="5"/>
  <c r="AJ43" i="5" s="1"/>
  <c r="E26" i="5"/>
  <c r="U24" i="5"/>
  <c r="AX24" i="5" s="1"/>
  <c r="P24" i="5"/>
  <c r="DF26" i="5" s="1"/>
  <c r="K24" i="5"/>
  <c r="CB25" i="5" s="1"/>
  <c r="H24" i="5"/>
  <c r="AJ41" i="5" s="1"/>
  <c r="E24" i="5"/>
  <c r="U22" i="5"/>
  <c r="AX22" i="5" s="1"/>
  <c r="P22" i="5"/>
  <c r="DC27" i="5" s="1"/>
  <c r="K22" i="5"/>
  <c r="BY27" i="5" s="1"/>
  <c r="H22" i="5"/>
  <c r="AJ39" i="5" s="1"/>
  <c r="E22" i="5"/>
  <c r="U20" i="5"/>
  <c r="AX20" i="5" s="1"/>
  <c r="P20" i="5"/>
  <c r="CZ30" i="5" s="1"/>
  <c r="K20" i="5"/>
  <c r="BV26" i="5" s="1"/>
  <c r="H20" i="5"/>
  <c r="AJ37" i="5" s="1"/>
  <c r="E20" i="5"/>
  <c r="U18" i="5"/>
  <c r="AX18" i="5" s="1"/>
  <c r="P18" i="5"/>
  <c r="CW28" i="5" s="1"/>
  <c r="K18" i="5"/>
  <c r="BS18" i="5" s="1"/>
  <c r="H18" i="5"/>
  <c r="AJ35" i="5" s="1"/>
  <c r="E18" i="5"/>
  <c r="U26" i="4"/>
  <c r="AX26" i="4" s="1"/>
  <c r="P26" i="4"/>
  <c r="DI30" i="4" s="1"/>
  <c r="K26" i="4"/>
  <c r="CE18" i="4" s="1"/>
  <c r="H26" i="4"/>
  <c r="AJ43" i="4" s="1"/>
  <c r="E26" i="4"/>
  <c r="U24" i="4"/>
  <c r="AX24" i="4" s="1"/>
  <c r="P24" i="4"/>
  <c r="DF32" i="4" s="1"/>
  <c r="K24" i="4"/>
  <c r="CB26" i="4" s="1"/>
  <c r="H24" i="4"/>
  <c r="AJ41" i="4" s="1"/>
  <c r="E24" i="4"/>
  <c r="U22" i="4"/>
  <c r="AX22" i="4" s="1"/>
  <c r="P22" i="4"/>
  <c r="DC32" i="4" s="1"/>
  <c r="K22" i="4"/>
  <c r="BY27" i="4" s="1"/>
  <c r="H22" i="4"/>
  <c r="AJ39" i="4" s="1"/>
  <c r="E22" i="4"/>
  <c r="U20" i="4"/>
  <c r="AX20" i="4" s="1"/>
  <c r="P20" i="4"/>
  <c r="CZ30" i="4" s="1"/>
  <c r="K20" i="4"/>
  <c r="BV24" i="4" s="1"/>
  <c r="H20" i="4"/>
  <c r="AJ37" i="4" s="1"/>
  <c r="E20" i="4"/>
  <c r="U18" i="4"/>
  <c r="AX18" i="4" s="1"/>
  <c r="P18" i="4"/>
  <c r="CW30" i="4" s="1"/>
  <c r="K18" i="4"/>
  <c r="AK18" i="4" s="1"/>
  <c r="H18" i="4"/>
  <c r="AJ35" i="4" s="1"/>
  <c r="E18" i="4"/>
  <c r="U47" i="6"/>
  <c r="AJ43" i="6"/>
  <c r="X42" i="6"/>
  <c r="P42" i="6"/>
  <c r="AJ41" i="6"/>
  <c r="P40" i="6"/>
  <c r="AJ39" i="6"/>
  <c r="T38" i="6"/>
  <c r="P38" i="6"/>
  <c r="AJ37" i="6"/>
  <c r="T36" i="6"/>
  <c r="P36" i="6"/>
  <c r="AJ35" i="6"/>
  <c r="B33" i="6"/>
  <c r="DI32" i="6"/>
  <c r="DF32" i="6"/>
  <c r="DC32" i="6"/>
  <c r="CZ32" i="6"/>
  <c r="CW32" i="6"/>
  <c r="CK32" i="6"/>
  <c r="DI31" i="6"/>
  <c r="DF31" i="6"/>
  <c r="DC31" i="6"/>
  <c r="CZ31" i="6"/>
  <c r="CW31" i="6"/>
  <c r="CK31" i="6"/>
  <c r="DI30" i="6"/>
  <c r="DF30" i="6"/>
  <c r="DC30" i="6"/>
  <c r="CZ30" i="6"/>
  <c r="CW30" i="6"/>
  <c r="CK30" i="6"/>
  <c r="F30" i="6"/>
  <c r="DI29" i="6"/>
  <c r="DF29" i="6"/>
  <c r="DC29" i="6"/>
  <c r="CZ29" i="6"/>
  <c r="CW29" i="6"/>
  <c r="CK29" i="6"/>
  <c r="DI28" i="6"/>
  <c r="DF28" i="6"/>
  <c r="DC28" i="6"/>
  <c r="CZ28" i="6"/>
  <c r="CW28" i="6"/>
  <c r="CK28" i="6"/>
  <c r="CK27" i="6"/>
  <c r="CK26" i="6"/>
  <c r="DI24" i="6"/>
  <c r="DF24" i="6"/>
  <c r="DC24" i="6"/>
  <c r="CZ24" i="6"/>
  <c r="CK24" i="6"/>
  <c r="DI23" i="6"/>
  <c r="DF23" i="6"/>
  <c r="DC23" i="6"/>
  <c r="CZ23" i="6"/>
  <c r="CW23" i="6"/>
  <c r="CK23" i="6"/>
  <c r="DI22" i="6"/>
  <c r="DF22" i="6"/>
  <c r="DC22" i="6"/>
  <c r="CZ22" i="6"/>
  <c r="CW22" i="6"/>
  <c r="CK22" i="6"/>
  <c r="DI21" i="6"/>
  <c r="DF21" i="6"/>
  <c r="DC21" i="6"/>
  <c r="CZ21" i="6"/>
  <c r="CK21" i="6"/>
  <c r="DI20" i="6"/>
  <c r="DC20" i="6"/>
  <c r="CZ20" i="6"/>
  <c r="CW20" i="6"/>
  <c r="CK20" i="6"/>
  <c r="CK19" i="6"/>
  <c r="CK18" i="6"/>
  <c r="E16" i="6"/>
  <c r="B3" i="6"/>
  <c r="R46" i="5"/>
  <c r="Y42" i="5"/>
  <c r="U42" i="5"/>
  <c r="Q42" i="5"/>
  <c r="Y40" i="5"/>
  <c r="U40" i="5"/>
  <c r="Q40" i="5"/>
  <c r="Y38" i="5"/>
  <c r="U38" i="5"/>
  <c r="Q38" i="5"/>
  <c r="Y36" i="5"/>
  <c r="U36" i="5"/>
  <c r="Q36" i="5"/>
  <c r="B33" i="5"/>
  <c r="CK32" i="5"/>
  <c r="CK31" i="5"/>
  <c r="CK30" i="5"/>
  <c r="CK29" i="5"/>
  <c r="CK28" i="5"/>
  <c r="CK27" i="5"/>
  <c r="CK26" i="5"/>
  <c r="CK24" i="5"/>
  <c r="CK23" i="5"/>
  <c r="CK22" i="5"/>
  <c r="CE22" i="5"/>
  <c r="CB22" i="5"/>
  <c r="BY22" i="5"/>
  <c r="BV22" i="5"/>
  <c r="BS22" i="5"/>
  <c r="CK21" i="5"/>
  <c r="CE21" i="5"/>
  <c r="CB21" i="5"/>
  <c r="BY21" i="5"/>
  <c r="BV21" i="5"/>
  <c r="BS21" i="5"/>
  <c r="CK20" i="5"/>
  <c r="CE20" i="5"/>
  <c r="CB20" i="5"/>
  <c r="BY20" i="5"/>
  <c r="BV20" i="5"/>
  <c r="BS20" i="5"/>
  <c r="CK19" i="5"/>
  <c r="CE19" i="5"/>
  <c r="CB19" i="5"/>
  <c r="BY19" i="5"/>
  <c r="BV19" i="5"/>
  <c r="BS19" i="5"/>
  <c r="CK18" i="5"/>
  <c r="E16" i="5"/>
  <c r="B3" i="5"/>
  <c r="B1" i="5"/>
  <c r="R46" i="4"/>
  <c r="Y42" i="4"/>
  <c r="U42" i="4"/>
  <c r="Q42" i="4"/>
  <c r="Y40" i="4"/>
  <c r="U40" i="4"/>
  <c r="Q40" i="4"/>
  <c r="Y38" i="4"/>
  <c r="U38" i="4"/>
  <c r="Q38" i="4"/>
  <c r="Y36" i="4"/>
  <c r="U36" i="4"/>
  <c r="Q36" i="4"/>
  <c r="B33" i="4"/>
  <c r="CK32" i="4"/>
  <c r="CK31" i="4"/>
  <c r="CK30" i="4"/>
  <c r="CK29" i="4"/>
  <c r="CK28" i="4"/>
  <c r="CK27" i="4"/>
  <c r="CK26" i="4"/>
  <c r="CK24" i="4"/>
  <c r="CK23" i="4"/>
  <c r="CK22" i="4"/>
  <c r="CE22" i="4"/>
  <c r="CB22" i="4"/>
  <c r="BY22" i="4"/>
  <c r="BV22" i="4"/>
  <c r="BS22" i="4"/>
  <c r="CK21" i="4"/>
  <c r="CE21" i="4"/>
  <c r="CB21" i="4"/>
  <c r="BY21" i="4"/>
  <c r="BV21" i="4"/>
  <c r="BS21" i="4"/>
  <c r="CK20" i="4"/>
  <c r="CE20" i="4"/>
  <c r="CB20" i="4"/>
  <c r="BY20" i="4"/>
  <c r="BV20" i="4"/>
  <c r="BS20" i="4"/>
  <c r="CK19" i="4"/>
  <c r="CE19" i="4"/>
  <c r="CB19" i="4"/>
  <c r="BY19" i="4"/>
  <c r="BV19" i="4"/>
  <c r="BS19" i="4"/>
  <c r="CK18" i="4"/>
  <c r="E16" i="4"/>
  <c r="B3" i="4"/>
  <c r="B1" i="4"/>
  <c r="BV25" i="5" l="1"/>
  <c r="CE26" i="4"/>
  <c r="AJ24" i="5"/>
  <c r="DI29" i="5"/>
  <c r="DI32" i="5"/>
  <c r="AN26" i="5"/>
  <c r="CE24" i="4"/>
  <c r="CZ29" i="4"/>
  <c r="DF19" i="5"/>
  <c r="DI21" i="4"/>
  <c r="DI27" i="4"/>
  <c r="DI28" i="4"/>
  <c r="CE25" i="4"/>
  <c r="DI22" i="5"/>
  <c r="DI23" i="4"/>
  <c r="CE23" i="4"/>
  <c r="AK26" i="4"/>
  <c r="DI20" i="4"/>
  <c r="CB18" i="5"/>
  <c r="CZ29" i="5"/>
  <c r="DI32" i="4"/>
  <c r="DF29" i="4"/>
  <c r="DF19" i="4"/>
  <c r="DF20" i="4"/>
  <c r="DF23" i="3"/>
  <c r="DF20" i="3"/>
  <c r="DF23" i="5"/>
  <c r="E49" i="6"/>
  <c r="H49" i="6"/>
  <c r="CZ20" i="5"/>
  <c r="CZ26" i="5"/>
  <c r="CZ32" i="4"/>
  <c r="CB23" i="5"/>
  <c r="BY23" i="4"/>
  <c r="AX28" i="6"/>
  <c r="AK20" i="5"/>
  <c r="CE27" i="4"/>
  <c r="DF24" i="4"/>
  <c r="BV24" i="5"/>
  <c r="AJ20" i="5"/>
  <c r="CW22" i="4"/>
  <c r="CW29" i="4"/>
  <c r="CW19" i="4"/>
  <c r="CW23" i="4"/>
  <c r="CW20" i="4"/>
  <c r="CW24" i="4"/>
  <c r="CW32" i="4"/>
  <c r="CW28" i="4"/>
  <c r="BS27" i="4"/>
  <c r="AJ18" i="4"/>
  <c r="AL18" i="4" s="1"/>
  <c r="BS23" i="4"/>
  <c r="BS25" i="4"/>
  <c r="BS26" i="4"/>
  <c r="BS18" i="4"/>
  <c r="BS24" i="4"/>
  <c r="CW21" i="4"/>
  <c r="CW27" i="4"/>
  <c r="CW31" i="4"/>
  <c r="AM18" i="4"/>
  <c r="CW21" i="5"/>
  <c r="CW24" i="5"/>
  <c r="CW30" i="5"/>
  <c r="CW18" i="5"/>
  <c r="CW31" i="5"/>
  <c r="E50" i="6"/>
  <c r="H50" i="6"/>
  <c r="AM26" i="4"/>
  <c r="AJ24" i="4"/>
  <c r="DC19" i="4"/>
  <c r="AN20" i="5"/>
  <c r="CZ22" i="5"/>
  <c r="CZ31" i="5"/>
  <c r="CZ27" i="5"/>
  <c r="CZ18" i="5"/>
  <c r="CZ23" i="5"/>
  <c r="CZ32" i="5"/>
  <c r="CZ28" i="5"/>
  <c r="CZ19" i="5"/>
  <c r="CZ21" i="5"/>
  <c r="CZ24" i="5"/>
  <c r="CB27" i="5"/>
  <c r="DF30" i="4"/>
  <c r="BY18" i="4"/>
  <c r="AJ22" i="4"/>
  <c r="BY24" i="4"/>
  <c r="BY25" i="4"/>
  <c r="CZ20" i="4"/>
  <c r="CZ24" i="4"/>
  <c r="CZ31" i="4"/>
  <c r="AK22" i="4"/>
  <c r="BY26" i="4"/>
  <c r="DF28" i="4"/>
  <c r="DC21" i="5"/>
  <c r="DF22" i="4"/>
  <c r="DC28" i="5"/>
  <c r="AJ26" i="4"/>
  <c r="DI19" i="5"/>
  <c r="DI21" i="5"/>
  <c r="DI23" i="5"/>
  <c r="DI27" i="5"/>
  <c r="AP14" i="6"/>
  <c r="AM26" i="5"/>
  <c r="DF27" i="4"/>
  <c r="DF23" i="4"/>
  <c r="DF31" i="4"/>
  <c r="DF22" i="3"/>
  <c r="AM24" i="4"/>
  <c r="DF21" i="4"/>
  <c r="AM24" i="3"/>
  <c r="AP13" i="6"/>
  <c r="AN22" i="4"/>
  <c r="AM22" i="5"/>
  <c r="DC23" i="4"/>
  <c r="AM22" i="4"/>
  <c r="CZ27" i="4"/>
  <c r="CZ28" i="4"/>
  <c r="AM20" i="3"/>
  <c r="CZ19" i="4"/>
  <c r="CZ22" i="4"/>
  <c r="AM20" i="4"/>
  <c r="AN18" i="4"/>
  <c r="AJ26" i="5"/>
  <c r="CE24" i="5"/>
  <c r="CE27" i="5"/>
  <c r="AM26" i="3"/>
  <c r="DF31" i="5"/>
  <c r="AM24" i="5"/>
  <c r="AN24" i="5"/>
  <c r="AM22" i="3"/>
  <c r="AM18" i="5"/>
  <c r="AN24" i="4"/>
  <c r="AM20" i="5"/>
  <c r="AN18" i="3"/>
  <c r="AM18" i="3"/>
  <c r="CE18" i="5"/>
  <c r="CE23" i="5"/>
  <c r="AK26" i="5"/>
  <c r="CE26" i="5"/>
  <c r="AP12" i="6"/>
  <c r="BS24" i="5"/>
  <c r="BS25" i="5"/>
  <c r="AJ18" i="5"/>
  <c r="CB23" i="4"/>
  <c r="CB27" i="4"/>
  <c r="CB24" i="4"/>
  <c r="BY26" i="5"/>
  <c r="AK22" i="5"/>
  <c r="BY25" i="5"/>
  <c r="AJ20" i="4"/>
  <c r="BV25" i="4"/>
  <c r="BV26" i="4"/>
  <c r="AK20" i="4"/>
  <c r="BV23" i="4"/>
  <c r="BV27" i="4"/>
  <c r="BV18" i="4"/>
  <c r="BV18" i="5"/>
  <c r="BV27" i="5"/>
  <c r="AK18" i="5"/>
  <c r="BS23" i="5"/>
  <c r="BS26" i="5"/>
  <c r="BS27" i="5"/>
  <c r="AN26" i="4"/>
  <c r="DI19" i="4"/>
  <c r="DI24" i="5"/>
  <c r="DI31" i="5"/>
  <c r="DI29" i="4"/>
  <c r="DI31" i="4"/>
  <c r="DI26" i="5"/>
  <c r="DI18" i="5"/>
  <c r="DI20" i="5"/>
  <c r="DI30" i="5"/>
  <c r="DI22" i="4"/>
  <c r="DI24" i="4"/>
  <c r="DF32" i="5"/>
  <c r="DF20" i="5"/>
  <c r="DF21" i="5"/>
  <c r="DF29" i="5"/>
  <c r="DF27" i="5"/>
  <c r="DF28" i="5"/>
  <c r="DF24" i="5"/>
  <c r="DF22" i="5"/>
  <c r="DF30" i="5"/>
  <c r="DF18" i="5"/>
  <c r="CZ21" i="4"/>
  <c r="CZ23" i="4"/>
  <c r="AN20" i="4"/>
  <c r="CW20" i="5"/>
  <c r="CW22" i="5"/>
  <c r="CW29" i="5"/>
  <c r="AN18" i="5"/>
  <c r="CW19" i="5"/>
  <c r="CW23" i="5"/>
  <c r="CW32" i="5"/>
  <c r="CW26" i="5"/>
  <c r="CW27" i="5"/>
  <c r="AJ22" i="5"/>
  <c r="AL22" i="5" s="1"/>
  <c r="AP22" i="5" s="1"/>
  <c r="AP12" i="5" s="1"/>
  <c r="BY24" i="5"/>
  <c r="BY18" i="5"/>
  <c r="BY23" i="5"/>
  <c r="BV23" i="5"/>
  <c r="AJ46" i="6"/>
  <c r="AJ45" i="5"/>
  <c r="K48" i="5" s="1"/>
  <c r="AJ45" i="4"/>
  <c r="K49" i="4" s="1"/>
  <c r="AN22" i="5"/>
  <c r="AK24" i="5"/>
  <c r="CB24" i="5"/>
  <c r="F30" i="5"/>
  <c r="DC18" i="5"/>
  <c r="DC19" i="5"/>
  <c r="DC20" i="5"/>
  <c r="DC24" i="5"/>
  <c r="DC29" i="5"/>
  <c r="DC30" i="5"/>
  <c r="DC31" i="5"/>
  <c r="DC32" i="5"/>
  <c r="CB26" i="5"/>
  <c r="DC23" i="5"/>
  <c r="DC26" i="5"/>
  <c r="AX28" i="5"/>
  <c r="DC22" i="5"/>
  <c r="AK24" i="4"/>
  <c r="F30" i="4"/>
  <c r="E49" i="4" s="1"/>
  <c r="DC20" i="4"/>
  <c r="DC22" i="4"/>
  <c r="AX28" i="4"/>
  <c r="CB18" i="4"/>
  <c r="CB25" i="4"/>
  <c r="DC27" i="4"/>
  <c r="DC21" i="4"/>
  <c r="DC28" i="4"/>
  <c r="DC24" i="4"/>
  <c r="DC29" i="4"/>
  <c r="DC30" i="4"/>
  <c r="DC31" i="4"/>
  <c r="DF24" i="3"/>
  <c r="DF21" i="3"/>
  <c r="AN26" i="3"/>
  <c r="AN24" i="3"/>
  <c r="AN22" i="3"/>
  <c r="AN20" i="3"/>
  <c r="CW20" i="3"/>
  <c r="AO26" i="4" l="1"/>
  <c r="AT26" i="4" s="1"/>
  <c r="AT14" i="4" s="1"/>
  <c r="AO26" i="5"/>
  <c r="AT26" i="5" s="1"/>
  <c r="AT14" i="5" s="1"/>
  <c r="AL26" i="4"/>
  <c r="AP26" i="4" s="1"/>
  <c r="AP14" i="4" s="1"/>
  <c r="AX14" i="4" s="1"/>
  <c r="X26" i="4" s="1"/>
  <c r="AB26" i="4" s="1"/>
  <c r="AM43" i="4" s="1"/>
  <c r="AL22" i="4"/>
  <c r="AP22" i="4" s="1"/>
  <c r="AP12" i="4" s="1"/>
  <c r="AL26" i="5"/>
  <c r="AP26" i="5" s="1"/>
  <c r="AP14" i="5" s="1"/>
  <c r="AX14" i="5" s="1"/>
  <c r="X26" i="5" s="1"/>
  <c r="AB26" i="5" s="1"/>
  <c r="AM43" i="5" s="1"/>
  <c r="N49" i="6"/>
  <c r="Q49" i="6" s="1"/>
  <c r="N50" i="6"/>
  <c r="Q50" i="6" s="1"/>
  <c r="AL24" i="5"/>
  <c r="AP24" i="5" s="1"/>
  <c r="AP13" i="5" s="1"/>
  <c r="AL24" i="4"/>
  <c r="AP24" i="4" s="1"/>
  <c r="AP13" i="4" s="1"/>
  <c r="AP28" i="6"/>
  <c r="AP9" i="6"/>
  <c r="AL20" i="5"/>
  <c r="AP20" i="5" s="1"/>
  <c r="AP11" i="5" s="1"/>
  <c r="AP18" i="4"/>
  <c r="AP10" i="4" s="1"/>
  <c r="AO22" i="5"/>
  <c r="AT22" i="5" s="1"/>
  <c r="AT12" i="5" s="1"/>
  <c r="AX12" i="5" s="1"/>
  <c r="X22" i="5" s="1"/>
  <c r="AB22" i="5" s="1"/>
  <c r="AM39" i="5" s="1"/>
  <c r="AO18" i="4"/>
  <c r="AT18" i="4" s="1"/>
  <c r="AO18" i="5"/>
  <c r="AL18" i="5"/>
  <c r="AP18" i="5" s="1"/>
  <c r="AP10" i="5" s="1"/>
  <c r="AO20" i="5"/>
  <c r="AT20" i="5" s="1"/>
  <c r="AT11" i="5" s="1"/>
  <c r="AO20" i="4"/>
  <c r="AT20" i="4" s="1"/>
  <c r="AT11" i="4" s="1"/>
  <c r="AO22" i="4"/>
  <c r="AT22" i="4" s="1"/>
  <c r="AT12" i="4" s="1"/>
  <c r="AO24" i="5"/>
  <c r="AT24" i="5" s="1"/>
  <c r="AT13" i="5" s="1"/>
  <c r="AO24" i="4"/>
  <c r="AT24" i="4" s="1"/>
  <c r="AT13" i="4" s="1"/>
  <c r="AL20" i="4"/>
  <c r="AP20" i="4" s="1"/>
  <c r="AP11" i="4" s="1"/>
  <c r="K49" i="5"/>
  <c r="H48" i="4"/>
  <c r="K48" i="4"/>
  <c r="H49" i="4"/>
  <c r="N49" i="4" s="1"/>
  <c r="E48" i="4"/>
  <c r="E49" i="5"/>
  <c r="H49" i="5"/>
  <c r="H48" i="5"/>
  <c r="E48" i="5"/>
  <c r="DI32" i="3"/>
  <c r="DI31" i="3"/>
  <c r="DI30" i="3"/>
  <c r="DI29" i="3"/>
  <c r="DI28" i="3"/>
  <c r="DI24" i="3"/>
  <c r="DI23" i="3"/>
  <c r="DI22" i="3"/>
  <c r="DI21" i="3"/>
  <c r="DI20" i="3"/>
  <c r="DF32" i="3"/>
  <c r="DF31" i="3"/>
  <c r="DF30" i="3"/>
  <c r="DF29" i="3"/>
  <c r="DF28" i="3"/>
  <c r="DC29" i="3"/>
  <c r="CZ29" i="3"/>
  <c r="DC32" i="3"/>
  <c r="DC31" i="3"/>
  <c r="DC30" i="3"/>
  <c r="DC28" i="3"/>
  <c r="DC24" i="3"/>
  <c r="DC23" i="3"/>
  <c r="DC22" i="3"/>
  <c r="DC21" i="3"/>
  <c r="DC20" i="3"/>
  <c r="CZ32" i="3"/>
  <c r="CZ31" i="3"/>
  <c r="CZ30" i="3"/>
  <c r="CZ28" i="3"/>
  <c r="CZ24" i="3"/>
  <c r="CZ23" i="3"/>
  <c r="CZ22" i="3"/>
  <c r="CZ21" i="3"/>
  <c r="CZ20" i="3"/>
  <c r="CW32" i="3"/>
  <c r="CW31" i="3"/>
  <c r="CW30" i="3"/>
  <c r="CW29" i="3"/>
  <c r="CW24" i="3"/>
  <c r="CW23" i="3"/>
  <c r="CW22" i="3"/>
  <c r="CW21" i="3"/>
  <c r="AO22" i="3"/>
  <c r="AJ18" i="3"/>
  <c r="CK32" i="3"/>
  <c r="CK31" i="3"/>
  <c r="CK30" i="3"/>
  <c r="CK29" i="3"/>
  <c r="CK28" i="3"/>
  <c r="CK27" i="3"/>
  <c r="CK26" i="3"/>
  <c r="CK19" i="3"/>
  <c r="CK20" i="3"/>
  <c r="CK21" i="3"/>
  <c r="CK22" i="3"/>
  <c r="CK23" i="3"/>
  <c r="CK24" i="3"/>
  <c r="CK18" i="3"/>
  <c r="AX18" i="3"/>
  <c r="AK18" i="3"/>
  <c r="AX20" i="3"/>
  <c r="AJ20" i="3"/>
  <c r="AK24" i="3"/>
  <c r="AX26" i="3"/>
  <c r="AJ26" i="3"/>
  <c r="AK26" i="3"/>
  <c r="CE27" i="3"/>
  <c r="CB27" i="3"/>
  <c r="BY27" i="3"/>
  <c r="BV27" i="3"/>
  <c r="BS27" i="3"/>
  <c r="CE26" i="3"/>
  <c r="CB26" i="3"/>
  <c r="BY26" i="3"/>
  <c r="BV26" i="3"/>
  <c r="BS26" i="3"/>
  <c r="CE25" i="3"/>
  <c r="CB25" i="3"/>
  <c r="BY25" i="3"/>
  <c r="BV25" i="3"/>
  <c r="BS25" i="3"/>
  <c r="CE24" i="3"/>
  <c r="CB24" i="3"/>
  <c r="BY24" i="3"/>
  <c r="BV24" i="3"/>
  <c r="BS24" i="3"/>
  <c r="CE23" i="3"/>
  <c r="CB23" i="3"/>
  <c r="BY23" i="3"/>
  <c r="BV23" i="3"/>
  <c r="BS23" i="3"/>
  <c r="BS19" i="3"/>
  <c r="CE18" i="3"/>
  <c r="CB18" i="3"/>
  <c r="BY18" i="3"/>
  <c r="BV18" i="3"/>
  <c r="BS18" i="3"/>
  <c r="B1" i="3"/>
  <c r="AX13" i="5" l="1"/>
  <c r="X24" i="5" s="1"/>
  <c r="AB24" i="5" s="1"/>
  <c r="AM41" i="5" s="1"/>
  <c r="AX13" i="4"/>
  <c r="X24" i="4" s="1"/>
  <c r="AB24" i="4" s="1"/>
  <c r="AM41" i="4" s="1"/>
  <c r="AP10" i="6"/>
  <c r="AT18" i="5"/>
  <c r="AT10" i="5" s="1"/>
  <c r="AX10" i="5" s="1"/>
  <c r="X18" i="5" s="1"/>
  <c r="AB18" i="5" s="1"/>
  <c r="AM35" i="5" s="1"/>
  <c r="AT10" i="4"/>
  <c r="AX10" i="4" s="1"/>
  <c r="X18" i="4" s="1"/>
  <c r="AB18" i="4" s="1"/>
  <c r="AM35" i="4" s="1"/>
  <c r="AX11" i="5"/>
  <c r="X20" i="5" s="1"/>
  <c r="AB20" i="5" s="1"/>
  <c r="AM37" i="5" s="1"/>
  <c r="AX11" i="4"/>
  <c r="X20" i="4" s="1"/>
  <c r="AB20" i="4" s="1"/>
  <c r="AM37" i="4" s="1"/>
  <c r="AP28" i="4"/>
  <c r="AT28" i="4"/>
  <c r="AX12" i="4"/>
  <c r="X22" i="4" s="1"/>
  <c r="AB22" i="4" s="1"/>
  <c r="AM39" i="4" s="1"/>
  <c r="N48" i="4"/>
  <c r="AP28" i="5"/>
  <c r="AL26" i="3"/>
  <c r="AP26" i="3" s="1"/>
  <c r="AP14" i="3" s="1"/>
  <c r="N49" i="5"/>
  <c r="N48" i="5"/>
  <c r="AO18" i="3"/>
  <c r="AT18" i="3" s="1"/>
  <c r="AT18" i="6" s="1"/>
  <c r="AO26" i="3"/>
  <c r="AT26" i="3" s="1"/>
  <c r="AT26" i="6" s="1"/>
  <c r="E16" i="3"/>
  <c r="B33" i="3"/>
  <c r="B3" i="3"/>
  <c r="R46" i="3"/>
  <c r="AJ43" i="3"/>
  <c r="AJ41" i="3"/>
  <c r="AJ39" i="3"/>
  <c r="AJ37" i="3"/>
  <c r="AJ35" i="3"/>
  <c r="Y42" i="3"/>
  <c r="U42" i="3"/>
  <c r="Q42" i="3"/>
  <c r="Y40" i="3"/>
  <c r="U40" i="3"/>
  <c r="Q40" i="3"/>
  <c r="Y38" i="3"/>
  <c r="U38" i="3"/>
  <c r="Q38" i="3"/>
  <c r="Y36" i="3"/>
  <c r="U36" i="3"/>
  <c r="Q36" i="3"/>
  <c r="F30" i="3"/>
  <c r="E49" i="3" s="1"/>
  <c r="AX24" i="3"/>
  <c r="AO24" i="3"/>
  <c r="AT24" i="3" s="1"/>
  <c r="AT24" i="6" s="1"/>
  <c r="AJ24" i="3"/>
  <c r="AL24" i="3" s="1"/>
  <c r="AP24" i="3" s="1"/>
  <c r="AP13" i="3" s="1"/>
  <c r="CE22" i="3"/>
  <c r="CB22" i="3"/>
  <c r="BY22" i="3"/>
  <c r="BV22" i="3"/>
  <c r="BS22" i="3"/>
  <c r="AX22" i="3"/>
  <c r="AT22" i="3"/>
  <c r="AT22" i="6" s="1"/>
  <c r="AK22" i="3"/>
  <c r="AJ22" i="3"/>
  <c r="CE21" i="3"/>
  <c r="CB21" i="3"/>
  <c r="BY21" i="3"/>
  <c r="BV21" i="3"/>
  <c r="BS21" i="3"/>
  <c r="CE20" i="3"/>
  <c r="CB20" i="3"/>
  <c r="BY20" i="3"/>
  <c r="BV20" i="3"/>
  <c r="BS20" i="3"/>
  <c r="AO20" i="3"/>
  <c r="AK20" i="3"/>
  <c r="CE19" i="3"/>
  <c r="CB19" i="3"/>
  <c r="BY19" i="3"/>
  <c r="BV19" i="3"/>
  <c r="AL18" i="3"/>
  <c r="AP18" i="3" s="1"/>
  <c r="AX28" i="3" l="1"/>
  <c r="AT28" i="5"/>
  <c r="E12" i="5" s="1"/>
  <c r="AT9" i="6"/>
  <c r="AX9" i="6" s="1"/>
  <c r="X18" i="6" s="1"/>
  <c r="AM45" i="5"/>
  <c r="K47" i="5" s="1"/>
  <c r="K50" i="5" s="1"/>
  <c r="K51" i="5" s="1"/>
  <c r="O30" i="5"/>
  <c r="H47" i="5" s="1"/>
  <c r="H50" i="5" s="1"/>
  <c r="H51" i="5" s="1"/>
  <c r="E12" i="4"/>
  <c r="E10" i="4"/>
  <c r="E11" i="4" s="1"/>
  <c r="AM45" i="4"/>
  <c r="K47" i="4" s="1"/>
  <c r="K50" i="4" s="1"/>
  <c r="K51" i="4" s="1"/>
  <c r="O30" i="4"/>
  <c r="H47" i="4" s="1"/>
  <c r="H50" i="4" s="1"/>
  <c r="H51" i="4" s="1"/>
  <c r="AT20" i="3"/>
  <c r="AT14" i="6"/>
  <c r="AX14" i="6" s="1"/>
  <c r="X26" i="6" s="1"/>
  <c r="AB26" i="6" s="1"/>
  <c r="AT13" i="6"/>
  <c r="AX13" i="6" s="1"/>
  <c r="X24" i="6" s="1"/>
  <c r="AB24" i="6" s="1"/>
  <c r="AT12" i="6"/>
  <c r="AX12" i="6" s="1"/>
  <c r="X22" i="6" s="1"/>
  <c r="AB22" i="6" s="1"/>
  <c r="AT14" i="3"/>
  <c r="AX14" i="3" s="1"/>
  <c r="X26" i="3" s="1"/>
  <c r="AB26" i="3" s="1"/>
  <c r="AM43" i="3" s="1"/>
  <c r="AT13" i="3"/>
  <c r="AX13" i="3" s="1"/>
  <c r="X24" i="3" s="1"/>
  <c r="AB24" i="3" s="1"/>
  <c r="AM41" i="3" s="1"/>
  <c r="AT12" i="3"/>
  <c r="AP10" i="3"/>
  <c r="AT10" i="3"/>
  <c r="E48" i="3"/>
  <c r="H48" i="3"/>
  <c r="H49" i="3"/>
  <c r="AJ45" i="3"/>
  <c r="K48" i="3" s="1"/>
  <c r="AL22" i="3"/>
  <c r="AP22" i="3" s="1"/>
  <c r="AP12" i="3" s="1"/>
  <c r="AL20" i="3"/>
  <c r="AP20" i="3" s="1"/>
  <c r="AT20" i="6" l="1"/>
  <c r="AT28" i="6" s="1"/>
  <c r="AM43" i="6"/>
  <c r="AM60" i="6"/>
  <c r="AM41" i="6"/>
  <c r="AM58" i="6"/>
  <c r="AM39" i="6"/>
  <c r="AM56" i="6"/>
  <c r="E10" i="5"/>
  <c r="E11" i="5" s="1"/>
  <c r="AB18" i="6"/>
  <c r="E47" i="5"/>
  <c r="N47" i="5" s="1"/>
  <c r="A49" i="4"/>
  <c r="A48" i="4"/>
  <c r="AT11" i="3"/>
  <c r="E47" i="4"/>
  <c r="E50" i="4" s="1"/>
  <c r="N50" i="4" s="1"/>
  <c r="AT28" i="3"/>
  <c r="AX10" i="3"/>
  <c r="X18" i="3" s="1"/>
  <c r="AB18" i="3" s="1"/>
  <c r="AM35" i="3" s="1"/>
  <c r="AX12" i="3"/>
  <c r="X22" i="3" s="1"/>
  <c r="AB22" i="3" s="1"/>
  <c r="AM39" i="3" s="1"/>
  <c r="N48" i="3"/>
  <c r="K49" i="3"/>
  <c r="N49" i="3" s="1"/>
  <c r="AT10" i="6" l="1"/>
  <c r="AX10" i="6" s="1"/>
  <c r="X20" i="6" s="1"/>
  <c r="AB20" i="6" s="1"/>
  <c r="AM37" i="6" s="1"/>
  <c r="AM35" i="6"/>
  <c r="AM52" i="6"/>
  <c r="A48" i="5"/>
  <c r="A49" i="5"/>
  <c r="E50" i="5"/>
  <c r="E51" i="5" s="1"/>
  <c r="N51" i="5" s="1"/>
  <c r="U48" i="5" s="1"/>
  <c r="U50" i="5" s="1"/>
  <c r="E51" i="4"/>
  <c r="N51" i="4" s="1"/>
  <c r="U48" i="4" s="1"/>
  <c r="U50" i="4" s="1"/>
  <c r="N47" i="4"/>
  <c r="AP11" i="3"/>
  <c r="AX11" i="3" s="1"/>
  <c r="X20" i="3" s="1"/>
  <c r="AB20" i="3" s="1"/>
  <c r="AM37" i="3" s="1"/>
  <c r="AM45" i="3" s="1"/>
  <c r="K47" i="3" s="1"/>
  <c r="K50" i="3" s="1"/>
  <c r="K51" i="3" s="1"/>
  <c r="AP28" i="3"/>
  <c r="AM54" i="6" l="1"/>
  <c r="AM63" i="6" s="1"/>
  <c r="K48" i="6" s="1"/>
  <c r="K51" i="6" s="1"/>
  <c r="K52" i="6" s="1"/>
  <c r="O30" i="6"/>
  <c r="H48" i="6" s="1"/>
  <c r="H51" i="6" s="1"/>
  <c r="H52" i="6" s="1"/>
  <c r="AM46" i="6"/>
  <c r="N48" i="6" s="1"/>
  <c r="N51" i="6" s="1"/>
  <c r="N52" i="6" s="1"/>
  <c r="N50" i="5"/>
  <c r="O30" i="3"/>
  <c r="E12" i="3"/>
  <c r="E10" i="3"/>
  <c r="E11" i="3" s="1"/>
  <c r="E48" i="6" l="1"/>
  <c r="Q48" i="6" s="1"/>
  <c r="E47" i="3"/>
  <c r="E50" i="3" s="1"/>
  <c r="E51" i="3" s="1"/>
  <c r="H47" i="3"/>
  <c r="H50" i="3" s="1"/>
  <c r="H51" i="3" s="1"/>
  <c r="A48" i="3"/>
  <c r="A49" i="3"/>
  <c r="E51" i="6" l="1"/>
  <c r="Q51" i="6" s="1"/>
  <c r="N51" i="3"/>
  <c r="U48" i="3" s="1"/>
  <c r="U50" i="3" s="1"/>
  <c r="N47" i="3"/>
  <c r="N50" i="3"/>
  <c r="E52" i="6" l="1"/>
  <c r="Q52" i="6" s="1"/>
  <c r="U49" i="6" s="1"/>
  <c r="U51" i="6" s="1"/>
</calcChain>
</file>

<file path=xl/sharedStrings.xml><?xml version="1.0" encoding="utf-8"?>
<sst xmlns="http://schemas.openxmlformats.org/spreadsheetml/2006/main" count="810" uniqueCount="165">
  <si>
    <t>【注意事項】</t>
    <rPh sb="1" eb="3">
      <t>チュウイ</t>
    </rPh>
    <rPh sb="3" eb="5">
      <t>ジコウ</t>
    </rPh>
    <phoneticPr fontId="7"/>
  </si>
  <si>
    <t>※</t>
    <phoneticPr fontId="7"/>
  </si>
  <si>
    <t>この計算結果は、あくまでも概算です。実際に課税される金額と異なる場合があります。</t>
    <rPh sb="2" eb="4">
      <t>ケイサン</t>
    </rPh>
    <rPh sb="4" eb="6">
      <t>ケッカ</t>
    </rPh>
    <rPh sb="13" eb="15">
      <t>ガイサン</t>
    </rPh>
    <rPh sb="18" eb="20">
      <t>ジッサイ</t>
    </rPh>
    <rPh sb="21" eb="23">
      <t>カゼイ</t>
    </rPh>
    <rPh sb="26" eb="28">
      <t>キンガク</t>
    </rPh>
    <rPh sb="29" eb="30">
      <t>コト</t>
    </rPh>
    <rPh sb="32" eb="34">
      <t>バアイ</t>
    </rPh>
    <phoneticPr fontId="7"/>
  </si>
  <si>
    <t>加入者が１年間加入するものとして計算されます。</t>
    <rPh sb="0" eb="3">
      <t>カニュウシャ</t>
    </rPh>
    <rPh sb="5" eb="7">
      <t>ネンカン</t>
    </rPh>
    <rPh sb="7" eb="9">
      <t>カニュウ</t>
    </rPh>
    <rPh sb="16" eb="18">
      <t>ケイサン</t>
    </rPh>
    <phoneticPr fontId="7"/>
  </si>
  <si>
    <t>軽減は含まれていません。</t>
    <rPh sb="0" eb="2">
      <t>ケイゲン</t>
    </rPh>
    <rPh sb="3" eb="4">
      <t>フク</t>
    </rPh>
    <phoneticPr fontId="7"/>
  </si>
  <si>
    <t>４０歳から６４歳の人（介護保険第２号被保険者）は、介護納付金課税額（介護保険分）が合算されます。</t>
    <rPh sb="2" eb="3">
      <t>サイ</t>
    </rPh>
    <rPh sb="7" eb="8">
      <t>サイ</t>
    </rPh>
    <rPh sb="9" eb="10">
      <t>ヒト</t>
    </rPh>
    <rPh sb="11" eb="13">
      <t>カイゴ</t>
    </rPh>
    <rPh sb="13" eb="15">
      <t>ホケン</t>
    </rPh>
    <rPh sb="15" eb="16">
      <t>ダイ</t>
    </rPh>
    <rPh sb="17" eb="18">
      <t>ゴウ</t>
    </rPh>
    <rPh sb="18" eb="22">
      <t>ヒホケンシャ</t>
    </rPh>
    <rPh sb="25" eb="27">
      <t>カイゴ</t>
    </rPh>
    <rPh sb="27" eb="30">
      <t>ノウフキン</t>
    </rPh>
    <rPh sb="30" eb="32">
      <t>カゼイ</t>
    </rPh>
    <rPh sb="32" eb="33">
      <t>ガク</t>
    </rPh>
    <rPh sb="34" eb="36">
      <t>カイゴ</t>
    </rPh>
    <rPh sb="36" eb="38">
      <t>ホケン</t>
    </rPh>
    <rPh sb="38" eb="39">
      <t>ブン</t>
    </rPh>
    <rPh sb="41" eb="43">
      <t>ガッサン</t>
    </rPh>
    <phoneticPr fontId="7"/>
  </si>
  <si>
    <t>国民健康
保険　加入者</t>
    <rPh sb="0" eb="2">
      <t>コクミン</t>
    </rPh>
    <rPh sb="2" eb="4">
      <t>ケンコウ</t>
    </rPh>
    <rPh sb="5" eb="7">
      <t>ホケン</t>
    </rPh>
    <rPh sb="8" eb="11">
      <t>カニュウシャ</t>
    </rPh>
    <phoneticPr fontId="7"/>
  </si>
  <si>
    <t>前年中の収入
（給　　与）</t>
    <rPh sb="0" eb="3">
      <t>ゼンネンチュウ</t>
    </rPh>
    <rPh sb="4" eb="6">
      <t>シュウニュウ</t>
    </rPh>
    <rPh sb="8" eb="9">
      <t>キュウ</t>
    </rPh>
    <rPh sb="11" eb="12">
      <t>アタエ</t>
    </rPh>
    <phoneticPr fontId="7"/>
  </si>
  <si>
    <t>前年中の収入
（年　　金）</t>
    <rPh sb="0" eb="3">
      <t>ゼンネンチュウ</t>
    </rPh>
    <rPh sb="4" eb="6">
      <t>シュウニュウ</t>
    </rPh>
    <rPh sb="8" eb="9">
      <t>トシ</t>
    </rPh>
    <rPh sb="11" eb="12">
      <t>キン</t>
    </rPh>
    <phoneticPr fontId="7"/>
  </si>
  <si>
    <t>総所得金額
（所 得 合 計）</t>
    <rPh sb="0" eb="3">
      <t>ソウショトク</t>
    </rPh>
    <rPh sb="3" eb="5">
      <t>キンガク</t>
    </rPh>
    <rPh sb="7" eb="8">
      <t>トコロ</t>
    </rPh>
    <rPh sb="9" eb="10">
      <t>トク</t>
    </rPh>
    <rPh sb="11" eb="12">
      <t>ゴウ</t>
    </rPh>
    <rPh sb="13" eb="14">
      <t>ケイ</t>
    </rPh>
    <phoneticPr fontId="7"/>
  </si>
  <si>
    <t>給与</t>
    <rPh sb="0" eb="2">
      <t>キュウヨ</t>
    </rPh>
    <phoneticPr fontId="7"/>
  </si>
  <si>
    <t>年金</t>
    <rPh sb="0" eb="2">
      <t>ネンキン</t>
    </rPh>
    <phoneticPr fontId="7"/>
  </si>
  <si>
    <t>前年中の所得
（給　　与）</t>
    <rPh sb="0" eb="3">
      <t>ゼンネンチュウ</t>
    </rPh>
    <rPh sb="4" eb="6">
      <t>ショトク</t>
    </rPh>
    <rPh sb="8" eb="9">
      <t>キュウ</t>
    </rPh>
    <rPh sb="11" eb="12">
      <t>アタエ</t>
    </rPh>
    <phoneticPr fontId="7"/>
  </si>
  <si>
    <t>前年中の所得
（年　　金）</t>
    <rPh sb="0" eb="3">
      <t>ゼンネンチュウ</t>
    </rPh>
    <rPh sb="4" eb="6">
      <t>ショトク</t>
    </rPh>
    <rPh sb="8" eb="9">
      <t>トシ</t>
    </rPh>
    <rPh sb="11" eb="12">
      <t>キン</t>
    </rPh>
    <phoneticPr fontId="7"/>
  </si>
  <si>
    <t>給与収入　　⇒　　給与所得</t>
    <rPh sb="0" eb="2">
      <t>キュウヨ</t>
    </rPh>
    <rPh sb="2" eb="4">
      <t>シュウニュウ</t>
    </rPh>
    <rPh sb="9" eb="11">
      <t>キュウヨ</t>
    </rPh>
    <rPh sb="11" eb="13">
      <t>ショトク</t>
    </rPh>
    <phoneticPr fontId="7"/>
  </si>
  <si>
    <t>加入者１</t>
    <rPh sb="0" eb="3">
      <t>カニュウシャ</t>
    </rPh>
    <phoneticPr fontId="7"/>
  </si>
  <si>
    <t>加入者２</t>
    <rPh sb="0" eb="3">
      <t>カニュウシャ</t>
    </rPh>
    <phoneticPr fontId="7"/>
  </si>
  <si>
    <t>加入者３</t>
    <rPh sb="0" eb="3">
      <t>カニュウシャ</t>
    </rPh>
    <phoneticPr fontId="7"/>
  </si>
  <si>
    <t>加入者４</t>
    <rPh sb="0" eb="3">
      <t>カニュウシャ</t>
    </rPh>
    <phoneticPr fontId="7"/>
  </si>
  <si>
    <t>加入者５</t>
    <rPh sb="0" eb="3">
      <t>カニュウシャ</t>
    </rPh>
    <phoneticPr fontId="7"/>
  </si>
  <si>
    <t>年金収入　⇒　年金所得</t>
    <rPh sb="0" eb="2">
      <t>ネンキン</t>
    </rPh>
    <rPh sb="2" eb="4">
      <t>シュウニュウ</t>
    </rPh>
    <rPh sb="7" eb="9">
      <t>ネンキン</t>
    </rPh>
    <rPh sb="9" eb="11">
      <t>ショトク</t>
    </rPh>
    <phoneticPr fontId="7"/>
  </si>
  <si>
    <t>～</t>
    <phoneticPr fontId="7"/>
  </si>
  <si>
    <t>加入者　１</t>
    <rPh sb="0" eb="3">
      <t>カニュウシャ</t>
    </rPh>
    <phoneticPr fontId="7"/>
  </si>
  <si>
    <t>歳</t>
    <rPh sb="0" eb="1">
      <t>サイ</t>
    </rPh>
    <phoneticPr fontId="7"/>
  </si>
  <si>
    <t>円</t>
    <rPh sb="0" eb="1">
      <t>エン</t>
    </rPh>
    <phoneticPr fontId="7"/>
  </si>
  <si>
    <t>加入者　２</t>
    <rPh sb="0" eb="3">
      <t>カニュウシャ</t>
    </rPh>
    <phoneticPr fontId="7"/>
  </si>
  <si>
    <t>加入者　３</t>
    <rPh sb="0" eb="3">
      <t>カニュウシャ</t>
    </rPh>
    <phoneticPr fontId="7"/>
  </si>
  <si>
    <t>加入者　４</t>
    <rPh sb="0" eb="3">
      <t>カニュウシャ</t>
    </rPh>
    <phoneticPr fontId="7"/>
  </si>
  <si>
    <t>加入者　５</t>
    <rPh sb="0" eb="3">
      <t>カニュウシャ</t>
    </rPh>
    <phoneticPr fontId="7"/>
  </si>
  <si>
    <t>入力内容確認</t>
    <rPh sb="0" eb="2">
      <t>ニュウリョク</t>
    </rPh>
    <rPh sb="2" eb="4">
      <t>ナイヨウ</t>
    </rPh>
    <rPh sb="4" eb="6">
      <t>カクニン</t>
    </rPh>
    <phoneticPr fontId="7"/>
  </si>
  <si>
    <t>年度</t>
    <rPh sb="0" eb="2">
      <t>ネンド</t>
    </rPh>
    <phoneticPr fontId="7"/>
  </si>
  <si>
    <t>加入者</t>
    <rPh sb="0" eb="3">
      <t>カニュウシャ</t>
    </rPh>
    <phoneticPr fontId="7"/>
  </si>
  <si>
    <t>人</t>
    <rPh sb="0" eb="1">
      <t>ニン</t>
    </rPh>
    <phoneticPr fontId="7"/>
  </si>
  <si>
    <t>課税所得金額　総計</t>
    <rPh sb="0" eb="2">
      <t>カゼイ</t>
    </rPh>
    <rPh sb="2" eb="4">
      <t>ショトク</t>
    </rPh>
    <rPh sb="4" eb="6">
      <t>キンガク</t>
    </rPh>
    <rPh sb="7" eb="9">
      <t>ソウケイ</t>
    </rPh>
    <phoneticPr fontId="7"/>
  </si>
  <si>
    <t>介護
対象者</t>
    <rPh sb="0" eb="2">
      <t>カイゴ</t>
    </rPh>
    <rPh sb="3" eb="6">
      <t>タイショウシャ</t>
    </rPh>
    <phoneticPr fontId="7"/>
  </si>
  <si>
    <t>介護分
（総所得）</t>
    <rPh sb="0" eb="2">
      <t>カイゴ</t>
    </rPh>
    <rPh sb="2" eb="3">
      <t>ブン</t>
    </rPh>
    <rPh sb="5" eb="8">
      <t>ソウショトク</t>
    </rPh>
    <phoneticPr fontId="7"/>
  </si>
  <si>
    <t>税　　　　率</t>
    <rPh sb="0" eb="1">
      <t>ゼイ</t>
    </rPh>
    <rPh sb="5" eb="6">
      <t>リツ</t>
    </rPh>
    <phoneticPr fontId="7"/>
  </si>
  <si>
    <t>医療保険分</t>
    <rPh sb="0" eb="2">
      <t>イリョウ</t>
    </rPh>
    <rPh sb="2" eb="4">
      <t>ホケン</t>
    </rPh>
    <rPh sb="4" eb="5">
      <t>ブン</t>
    </rPh>
    <phoneticPr fontId="7"/>
  </si>
  <si>
    <t>後期支援分</t>
    <rPh sb="0" eb="2">
      <t>コウキ</t>
    </rPh>
    <rPh sb="2" eb="4">
      <t>シエン</t>
    </rPh>
    <rPh sb="4" eb="5">
      <t>ブン</t>
    </rPh>
    <phoneticPr fontId="7"/>
  </si>
  <si>
    <t>介護保険分</t>
    <rPh sb="0" eb="2">
      <t>カイゴ</t>
    </rPh>
    <rPh sb="2" eb="4">
      <t>ホケン</t>
    </rPh>
    <rPh sb="4" eb="5">
      <t>ブン</t>
    </rPh>
    <phoneticPr fontId="7"/>
  </si>
  <si>
    <t>所　得　割</t>
    <rPh sb="0" eb="1">
      <t>トコロ</t>
    </rPh>
    <rPh sb="2" eb="3">
      <t>トク</t>
    </rPh>
    <rPh sb="4" eb="5">
      <t>ワリ</t>
    </rPh>
    <phoneticPr fontId="7"/>
  </si>
  <si>
    <t>前年中の所得に応じて計算</t>
    <rPh sb="0" eb="3">
      <t>ゼンネンチュウ</t>
    </rPh>
    <rPh sb="4" eb="6">
      <t>ショトク</t>
    </rPh>
    <rPh sb="7" eb="8">
      <t>オウ</t>
    </rPh>
    <rPh sb="10" eb="12">
      <t>ケイサン</t>
    </rPh>
    <phoneticPr fontId="7"/>
  </si>
  <si>
    <t>前年中の所得（所得合計）
　　　　－基礎控除額（３３万円）</t>
    <rPh sb="0" eb="3">
      <t>ゼンネンチュウ</t>
    </rPh>
    <rPh sb="4" eb="6">
      <t>ショトク</t>
    </rPh>
    <rPh sb="7" eb="9">
      <t>ショトク</t>
    </rPh>
    <rPh sb="9" eb="11">
      <t>ゴウケイ</t>
    </rPh>
    <rPh sb="18" eb="20">
      <t>キソ</t>
    </rPh>
    <rPh sb="20" eb="22">
      <t>コウジョ</t>
    </rPh>
    <rPh sb="22" eb="23">
      <t>ガク</t>
    </rPh>
    <rPh sb="26" eb="28">
      <t>マンエン</t>
    </rPh>
    <phoneticPr fontId="7"/>
  </si>
  <si>
    <t>均　等　割</t>
    <rPh sb="0" eb="1">
      <t>タモツ</t>
    </rPh>
    <rPh sb="2" eb="3">
      <t>トウ</t>
    </rPh>
    <rPh sb="4" eb="5">
      <t>ワリ</t>
    </rPh>
    <phoneticPr fontId="7"/>
  </si>
  <si>
    <t>平　等　割</t>
    <rPh sb="0" eb="1">
      <t>ヒラ</t>
    </rPh>
    <rPh sb="2" eb="3">
      <t>トウ</t>
    </rPh>
    <rPh sb="4" eb="5">
      <t>ワリ</t>
    </rPh>
    <phoneticPr fontId="7"/>
  </si>
  <si>
    <t>加入している人数に応じて計算</t>
    <rPh sb="0" eb="2">
      <t>カニュウ</t>
    </rPh>
    <rPh sb="6" eb="8">
      <t>ニンズウ</t>
    </rPh>
    <rPh sb="9" eb="10">
      <t>オウ</t>
    </rPh>
    <rPh sb="12" eb="14">
      <t>ケイサン</t>
    </rPh>
    <phoneticPr fontId="7"/>
  </si>
  <si>
    <t>加入者１人あたり　</t>
    <rPh sb="0" eb="3">
      <t>カニュウシャ</t>
    </rPh>
    <rPh sb="4" eb="5">
      <t>ヒト</t>
    </rPh>
    <phoneticPr fontId="7"/>
  </si>
  <si>
    <t>上　限　額</t>
    <rPh sb="0" eb="1">
      <t>ウエ</t>
    </rPh>
    <rPh sb="2" eb="3">
      <t>キリ</t>
    </rPh>
    <rPh sb="4" eb="5">
      <t>ガク</t>
    </rPh>
    <phoneticPr fontId="7"/>
  </si>
  <si>
    <t>１世帯あたりいくらと計算</t>
    <rPh sb="1" eb="3">
      <t>セタイ</t>
    </rPh>
    <rPh sb="10" eb="12">
      <t>ケイサン</t>
    </rPh>
    <phoneticPr fontId="7"/>
  </si>
  <si>
    <t>１世帯あたり　　 　</t>
    <rPh sb="1" eb="3">
      <t>セタイ</t>
    </rPh>
    <phoneticPr fontId="7"/>
  </si>
  <si>
    <t>計算結果</t>
    <rPh sb="0" eb="2">
      <t>ケイサン</t>
    </rPh>
    <rPh sb="2" eb="4">
      <t>ケッカ</t>
    </rPh>
    <phoneticPr fontId="7"/>
  </si>
  <si>
    <t>合　　計</t>
    <rPh sb="0" eb="1">
      <t>ゴウ</t>
    </rPh>
    <rPh sb="3" eb="4">
      <t>ケイ</t>
    </rPh>
    <phoneticPr fontId="7"/>
  </si>
  <si>
    <t>みよし市国民健康保険税額（年間）は</t>
    <phoneticPr fontId="7"/>
  </si>
  <si>
    <t>円（概算）</t>
    <rPh sb="0" eb="1">
      <t>エン</t>
    </rPh>
    <rPh sb="2" eb="4">
      <t>ガイサン</t>
    </rPh>
    <phoneticPr fontId="7"/>
  </si>
  <si>
    <r>
      <t xml:space="preserve">課税額
</t>
    </r>
    <r>
      <rPr>
        <sz val="8"/>
        <rFont val="ＭＳ Ｐゴシック"/>
        <family val="3"/>
        <charset val="128"/>
      </rPr>
      <t xml:space="preserve">(100円未満切捨)
</t>
    </r>
    <r>
      <rPr>
        <sz val="7"/>
        <rFont val="ＭＳ Ｐゴシック"/>
        <family val="3"/>
        <charset val="128"/>
      </rPr>
      <t>※限度額超過の場合は限度額を表示</t>
    </r>
    <rPh sb="0" eb="2">
      <t>カゼイ</t>
    </rPh>
    <rPh sb="2" eb="3">
      <t>ガク</t>
    </rPh>
    <rPh sb="8" eb="9">
      <t>エン</t>
    </rPh>
    <rPh sb="9" eb="11">
      <t>ミマン</t>
    </rPh>
    <rPh sb="11" eb="13">
      <t>キリス</t>
    </rPh>
    <phoneticPr fontId="7"/>
  </si>
  <si>
    <t>所得割額</t>
    <rPh sb="0" eb="1">
      <t>トコロ</t>
    </rPh>
    <rPh sb="1" eb="2">
      <t>トク</t>
    </rPh>
    <rPh sb="2" eb="3">
      <t>ワリ</t>
    </rPh>
    <rPh sb="3" eb="4">
      <t>ガク</t>
    </rPh>
    <phoneticPr fontId="7"/>
  </si>
  <si>
    <t>均等割額</t>
    <rPh sb="0" eb="1">
      <t>タモツ</t>
    </rPh>
    <rPh sb="1" eb="2">
      <t>トウ</t>
    </rPh>
    <rPh sb="2" eb="3">
      <t>ワリ</t>
    </rPh>
    <rPh sb="3" eb="4">
      <t>ガク</t>
    </rPh>
    <phoneticPr fontId="7"/>
  </si>
  <si>
    <t>平等割額</t>
    <rPh sb="0" eb="1">
      <t>ヒラ</t>
    </rPh>
    <rPh sb="1" eb="2">
      <t>トウ</t>
    </rPh>
    <rPh sb="2" eb="3">
      <t>ワリ</t>
    </rPh>
    <rPh sb="3" eb="4">
      <t>ガク</t>
    </rPh>
    <phoneticPr fontId="7"/>
  </si>
  <si>
    <t>上限額</t>
    <rPh sb="0" eb="1">
      <t>ウエ</t>
    </rPh>
    <rPh sb="1" eb="2">
      <t>キリ</t>
    </rPh>
    <rPh sb="2" eb="3">
      <t>ガク</t>
    </rPh>
    <phoneticPr fontId="7"/>
  </si>
  <si>
    <t>※ただし、みよし市は１年間の保険税額を８回（８期）に分けてお支払をお願いしています。そのため、１回（1期）あたりにお支払いただく金額が、ひと月あたりの金額と異なります。</t>
    <phoneticPr fontId="3"/>
  </si>
  <si>
    <t>所得割額、均等割額、平等割額の合計が医療保険分、後期支援分、介護保険分でそれぞれ定める上限額を超えた場合は超えた分の金額は課税されません</t>
    <rPh sb="0" eb="2">
      <t>ショトク</t>
    </rPh>
    <rPh sb="2" eb="3">
      <t>ワリ</t>
    </rPh>
    <rPh sb="3" eb="4">
      <t>ガク</t>
    </rPh>
    <rPh sb="5" eb="8">
      <t>キントウワリ</t>
    </rPh>
    <rPh sb="8" eb="9">
      <t>ガク</t>
    </rPh>
    <rPh sb="10" eb="12">
      <t>ビョウドウ</t>
    </rPh>
    <rPh sb="12" eb="13">
      <t>ワリ</t>
    </rPh>
    <rPh sb="13" eb="14">
      <t>ガク</t>
    </rPh>
    <rPh sb="15" eb="17">
      <t>ゴウケイ</t>
    </rPh>
    <rPh sb="18" eb="20">
      <t>イリョウ</t>
    </rPh>
    <rPh sb="20" eb="22">
      <t>ホケン</t>
    </rPh>
    <rPh sb="22" eb="23">
      <t>ブン</t>
    </rPh>
    <rPh sb="24" eb="26">
      <t>コウキ</t>
    </rPh>
    <rPh sb="26" eb="28">
      <t>シエン</t>
    </rPh>
    <rPh sb="28" eb="29">
      <t>ブン</t>
    </rPh>
    <rPh sb="30" eb="32">
      <t>カイゴ</t>
    </rPh>
    <rPh sb="32" eb="34">
      <t>ホケン</t>
    </rPh>
    <rPh sb="34" eb="35">
      <t>ブン</t>
    </rPh>
    <rPh sb="40" eb="41">
      <t>サダ</t>
    </rPh>
    <rPh sb="43" eb="46">
      <t>ジョウゲンガク</t>
    </rPh>
    <rPh sb="47" eb="48">
      <t>コ</t>
    </rPh>
    <rPh sb="50" eb="52">
      <t>バアイ</t>
    </rPh>
    <rPh sb="53" eb="54">
      <t>コ</t>
    </rPh>
    <rPh sb="56" eb="57">
      <t>ブン</t>
    </rPh>
    <rPh sb="58" eb="60">
      <t>キンガク</t>
    </rPh>
    <rPh sb="61" eb="63">
      <t>カゼイ</t>
    </rPh>
    <phoneticPr fontId="7"/>
  </si>
  <si>
    <t>※H29年分は11,12の計算方法変わる</t>
    <rPh sb="4" eb="6">
      <t>ネンブン</t>
    </rPh>
    <rPh sb="13" eb="15">
      <t>ケイサン</t>
    </rPh>
    <rPh sb="15" eb="17">
      <t>ホウホウ</t>
    </rPh>
    <rPh sb="17" eb="18">
      <t>カ</t>
    </rPh>
    <phoneticPr fontId="3"/>
  </si>
  <si>
    <t>その他所得
（営業・農業等）</t>
    <rPh sb="2" eb="3">
      <t>ホカ</t>
    </rPh>
    <rPh sb="3" eb="5">
      <t>ショトク</t>
    </rPh>
    <phoneticPr fontId="3"/>
  </si>
  <si>
    <t>前年中の所得
（その他）</t>
    <rPh sb="0" eb="3">
      <t>ゼンネンチュウ</t>
    </rPh>
    <rPh sb="4" eb="6">
      <t>ショトク</t>
    </rPh>
    <rPh sb="10" eb="11">
      <t>ホカ</t>
    </rPh>
    <phoneticPr fontId="7"/>
  </si>
  <si>
    <t>非自発的失業者は軽減制度があります。該当する場合は前年の給与所得を30／100にして計算してください。</t>
    <rPh sb="0" eb="1">
      <t>ヒ</t>
    </rPh>
    <rPh sb="1" eb="4">
      <t>ジハツテキ</t>
    </rPh>
    <rPh sb="4" eb="7">
      <t>シツギョウシャ</t>
    </rPh>
    <rPh sb="8" eb="10">
      <t>ケイゲン</t>
    </rPh>
    <rPh sb="10" eb="12">
      <t>セイド</t>
    </rPh>
    <rPh sb="18" eb="20">
      <t>ガイトウ</t>
    </rPh>
    <rPh sb="22" eb="24">
      <t>バアイ</t>
    </rPh>
    <rPh sb="25" eb="27">
      <t>ゼンネン</t>
    </rPh>
    <rPh sb="28" eb="30">
      <t>キュウヨ</t>
    </rPh>
    <rPh sb="30" eb="32">
      <t>ショトク</t>
    </rPh>
    <rPh sb="42" eb="44">
      <t>ケイサン</t>
    </rPh>
    <phoneticPr fontId="3"/>
  </si>
  <si>
    <t>（参考）</t>
    <rPh sb="1" eb="3">
      <t>サンコウ</t>
    </rPh>
    <phoneticPr fontId="7"/>
  </si>
  <si>
    <t>（均等割・平等割）7割軽減…世帯主及び世帯の被保険者の所得の合計額≦33万円</t>
    <phoneticPr fontId="3"/>
  </si>
  <si>
    <r>
      <t>（均等割・平等割）5割軽減…世帯主及び世帯の被保険者の所得の合計額≦</t>
    </r>
    <r>
      <rPr>
        <sz val="11"/>
        <color theme="1"/>
        <rFont val="ＭＳ Ｐゴシック"/>
        <family val="3"/>
        <charset val="128"/>
        <scheme val="minor"/>
      </rPr>
      <t>33万円＋世帯の被保険者×28万円</t>
    </r>
    <rPh sb="1" eb="4">
      <t>キントウワ</t>
    </rPh>
    <rPh sb="5" eb="7">
      <t>ビョウドウ</t>
    </rPh>
    <rPh sb="7" eb="8">
      <t>ワリ</t>
    </rPh>
    <rPh sb="10" eb="11">
      <t>ワリ</t>
    </rPh>
    <rPh sb="11" eb="13">
      <t>ケイゲン</t>
    </rPh>
    <rPh sb="14" eb="17">
      <t>セタイヌシ</t>
    </rPh>
    <rPh sb="17" eb="18">
      <t>オヨ</t>
    </rPh>
    <rPh sb="19" eb="21">
      <t>セタイ</t>
    </rPh>
    <rPh sb="22" eb="26">
      <t>ヒホケンシャ</t>
    </rPh>
    <rPh sb="27" eb="29">
      <t>ショトク</t>
    </rPh>
    <rPh sb="30" eb="32">
      <t>ゴウケイ</t>
    </rPh>
    <rPh sb="32" eb="33">
      <t>ガク</t>
    </rPh>
    <rPh sb="36" eb="38">
      <t>マンエン</t>
    </rPh>
    <rPh sb="39" eb="41">
      <t>セタイ</t>
    </rPh>
    <rPh sb="42" eb="46">
      <t>ヒホケンシャ</t>
    </rPh>
    <rPh sb="49" eb="50">
      <t>マン</t>
    </rPh>
    <rPh sb="50" eb="51">
      <t>エン</t>
    </rPh>
    <phoneticPr fontId="7"/>
  </si>
  <si>
    <t>（均等割・平等割）2割軽減…世帯主及び世帯の被保険者の所得の合計額≦33万円＋世帯の被保険者×51万円</t>
    <rPh sb="1" eb="3">
      <t>キントウ</t>
    </rPh>
    <rPh sb="3" eb="4">
      <t>ワリ</t>
    </rPh>
    <rPh sb="5" eb="7">
      <t>ビョウドウ</t>
    </rPh>
    <rPh sb="7" eb="8">
      <t>ワリ</t>
    </rPh>
    <rPh sb="10" eb="11">
      <t>ワリ</t>
    </rPh>
    <rPh sb="11" eb="13">
      <t>ケイゲン</t>
    </rPh>
    <rPh sb="14" eb="17">
      <t>セタイヌシ</t>
    </rPh>
    <rPh sb="17" eb="18">
      <t>オヨ</t>
    </rPh>
    <rPh sb="19" eb="21">
      <t>セタイ</t>
    </rPh>
    <rPh sb="22" eb="26">
      <t>ヒホケンシャ</t>
    </rPh>
    <rPh sb="27" eb="29">
      <t>ショトク</t>
    </rPh>
    <rPh sb="30" eb="32">
      <t>ゴウケイ</t>
    </rPh>
    <rPh sb="32" eb="33">
      <t>ガク</t>
    </rPh>
    <rPh sb="36" eb="38">
      <t>マンエン</t>
    </rPh>
    <rPh sb="39" eb="41">
      <t>セタイ</t>
    </rPh>
    <rPh sb="42" eb="46">
      <t>ヒホケンシャ</t>
    </rPh>
    <rPh sb="49" eb="51">
      <t>マンエン</t>
    </rPh>
    <phoneticPr fontId="3"/>
  </si>
  <si>
    <t>５割軽減</t>
    <rPh sb="1" eb="2">
      <t>ワリ</t>
    </rPh>
    <rPh sb="2" eb="4">
      <t>ケイゲン</t>
    </rPh>
    <phoneticPr fontId="3"/>
  </si>
  <si>
    <t>７割軽減</t>
    <rPh sb="1" eb="2">
      <t>ワリ</t>
    </rPh>
    <rPh sb="2" eb="4">
      <t>ケイゲン</t>
    </rPh>
    <phoneticPr fontId="3"/>
  </si>
  <si>
    <t>２割軽減</t>
    <rPh sb="1" eb="2">
      <t>ワリ</t>
    </rPh>
    <rPh sb="2" eb="4">
      <t>ケイゲン</t>
    </rPh>
    <phoneticPr fontId="3"/>
  </si>
  <si>
    <r>
      <t>（均等割・平等割）7割軽減…世帯主及び世帯の被保険者の所得の合計額≦</t>
    </r>
    <r>
      <rPr>
        <b/>
        <sz val="11"/>
        <color indexed="10"/>
        <rFont val="ＭＳ Ｐゴシック"/>
        <family val="3"/>
        <charset val="128"/>
      </rPr>
      <t>A</t>
    </r>
    <phoneticPr fontId="3"/>
  </si>
  <si>
    <t>A</t>
    <phoneticPr fontId="3"/>
  </si>
  <si>
    <t>B</t>
    <phoneticPr fontId="3"/>
  </si>
  <si>
    <t>C</t>
    <phoneticPr fontId="3"/>
  </si>
  <si>
    <r>
      <t>（均等割・平等割）5割軽減…世帯主及び世帯の被保険者の所得の合計額≦</t>
    </r>
    <r>
      <rPr>
        <sz val="11"/>
        <color theme="1"/>
        <rFont val="ＭＳ Ｐゴシック"/>
        <family val="3"/>
        <charset val="128"/>
        <scheme val="minor"/>
      </rPr>
      <t>33万円＋世帯の被保険者×</t>
    </r>
    <r>
      <rPr>
        <b/>
        <sz val="11"/>
        <color indexed="10"/>
        <rFont val="ＭＳ Ｐゴシック"/>
        <family val="3"/>
        <charset val="128"/>
      </rPr>
      <t>B</t>
    </r>
    <rPh sb="1" eb="4">
      <t>キントウワ</t>
    </rPh>
    <rPh sb="5" eb="7">
      <t>ビョウドウ</t>
    </rPh>
    <rPh sb="7" eb="8">
      <t>ワリ</t>
    </rPh>
    <rPh sb="10" eb="11">
      <t>ワリ</t>
    </rPh>
    <rPh sb="11" eb="13">
      <t>ケイゲン</t>
    </rPh>
    <rPh sb="14" eb="17">
      <t>セタイヌシ</t>
    </rPh>
    <rPh sb="17" eb="18">
      <t>オヨ</t>
    </rPh>
    <rPh sb="19" eb="21">
      <t>セタイ</t>
    </rPh>
    <rPh sb="22" eb="26">
      <t>ヒホケンシャ</t>
    </rPh>
    <rPh sb="27" eb="29">
      <t>ショトク</t>
    </rPh>
    <rPh sb="30" eb="32">
      <t>ゴウケイ</t>
    </rPh>
    <rPh sb="32" eb="33">
      <t>ガク</t>
    </rPh>
    <rPh sb="36" eb="38">
      <t>マンエン</t>
    </rPh>
    <rPh sb="39" eb="41">
      <t>セタイ</t>
    </rPh>
    <rPh sb="42" eb="46">
      <t>ヒホケンシャ</t>
    </rPh>
    <phoneticPr fontId="3"/>
  </si>
  <si>
    <r>
      <t>（均等割・平等割）2割軽減…世帯主及び世帯の被保険者の所得の合計額≦33万円＋世帯の被保険者×</t>
    </r>
    <r>
      <rPr>
        <b/>
        <sz val="11"/>
        <color indexed="10"/>
        <rFont val="ＭＳ Ｐゴシック"/>
        <family val="3"/>
        <charset val="128"/>
      </rPr>
      <t>C</t>
    </r>
    <rPh sb="1" eb="3">
      <t>キントウ</t>
    </rPh>
    <rPh sb="3" eb="4">
      <t>ワリ</t>
    </rPh>
    <rPh sb="5" eb="7">
      <t>ビョウドウ</t>
    </rPh>
    <rPh sb="7" eb="8">
      <t>ワリ</t>
    </rPh>
    <rPh sb="10" eb="11">
      <t>ワリ</t>
    </rPh>
    <rPh sb="11" eb="13">
      <t>ケイゲン</t>
    </rPh>
    <rPh sb="14" eb="17">
      <t>セタイヌシ</t>
    </rPh>
    <rPh sb="17" eb="18">
      <t>オヨ</t>
    </rPh>
    <rPh sb="19" eb="21">
      <t>セタイ</t>
    </rPh>
    <rPh sb="22" eb="26">
      <t>ヒホケンシャ</t>
    </rPh>
    <rPh sb="27" eb="29">
      <t>ショトク</t>
    </rPh>
    <rPh sb="30" eb="32">
      <t>ゴウケイ</t>
    </rPh>
    <rPh sb="32" eb="33">
      <t>ガク</t>
    </rPh>
    <rPh sb="36" eb="38">
      <t>マンエン</t>
    </rPh>
    <rPh sb="39" eb="41">
      <t>セタイ</t>
    </rPh>
    <rPh sb="42" eb="46">
      <t>ヒホケンシャ</t>
    </rPh>
    <phoneticPr fontId="3"/>
  </si>
  <si>
    <t>擬制世帯主の総所得金額</t>
    <rPh sb="0" eb="2">
      <t>ギセイ</t>
    </rPh>
    <rPh sb="2" eb="5">
      <t>セタイヌシ</t>
    </rPh>
    <rPh sb="6" eb="9">
      <t>ソウショトク</t>
    </rPh>
    <rPh sb="9" eb="11">
      <t>キンガク</t>
    </rPh>
    <phoneticPr fontId="3"/>
  </si>
  <si>
    <r>
      <t>に、該当する数字を入力してください。</t>
    </r>
    <r>
      <rPr>
        <sz val="11"/>
        <rFont val="ＭＳ Ｐゴシック"/>
        <family val="3"/>
        <charset val="128"/>
      </rPr>
      <t>（</t>
    </r>
    <r>
      <rPr>
        <sz val="11"/>
        <color indexed="10"/>
        <rFont val="ＭＳ Ｐゴシック"/>
        <family val="3"/>
        <charset val="128"/>
      </rPr>
      <t>※収入額</t>
    </r>
    <r>
      <rPr>
        <sz val="11"/>
        <rFont val="ＭＳ Ｐゴシック"/>
        <family val="3"/>
        <charset val="128"/>
      </rPr>
      <t>を入力してください。</t>
    </r>
    <r>
      <rPr>
        <sz val="10.5"/>
        <rFont val="ＭＳ Ｐゴシック"/>
        <family val="3"/>
        <charset val="128"/>
      </rPr>
      <t>※その他の所得については所得を入力してください。</t>
    </r>
    <r>
      <rPr>
        <sz val="11"/>
        <rFont val="ＭＳ Ｐゴシック"/>
        <family val="3"/>
        <charset val="128"/>
      </rPr>
      <t>）</t>
    </r>
    <rPh sb="2" eb="4">
      <t>ガイトウ</t>
    </rPh>
    <rPh sb="6" eb="8">
      <t>スウジ</t>
    </rPh>
    <rPh sb="9" eb="11">
      <t>ニュウリョク</t>
    </rPh>
    <rPh sb="20" eb="22">
      <t>シュウニュウ</t>
    </rPh>
    <rPh sb="22" eb="23">
      <t>ガク</t>
    </rPh>
    <rPh sb="24" eb="26">
      <t>ニュウリョク</t>
    </rPh>
    <rPh sb="36" eb="37">
      <t>ホカ</t>
    </rPh>
    <rPh sb="38" eb="40">
      <t>ショトク</t>
    </rPh>
    <rPh sb="45" eb="47">
      <t>ショトク</t>
    </rPh>
    <rPh sb="48" eb="50">
      <t>ニュウリョク</t>
    </rPh>
    <phoneticPr fontId="7"/>
  </si>
  <si>
    <t>加入日現在の
年齢</t>
    <rPh sb="0" eb="3">
      <t>カニュウビ</t>
    </rPh>
    <rPh sb="2" eb="3">
      <t>ニチ</t>
    </rPh>
    <rPh sb="3" eb="5">
      <t>ゲンザイ</t>
    </rPh>
    <rPh sb="7" eb="9">
      <t>ネンレイ</t>
    </rPh>
    <phoneticPr fontId="7"/>
  </si>
  <si>
    <r>
      <t>（均等割・平等割）5割軽減…世帯主及び世帯の被保険者の所得の合計額≦</t>
    </r>
    <r>
      <rPr>
        <sz val="11"/>
        <color theme="1"/>
        <rFont val="ＭＳ Ｐゴシック"/>
        <family val="3"/>
        <charset val="128"/>
        <scheme val="minor"/>
      </rPr>
      <t>33万円＋世帯の被保険者×28.5万円</t>
    </r>
    <rPh sb="1" eb="4">
      <t>キントウワ</t>
    </rPh>
    <rPh sb="5" eb="7">
      <t>ビョウドウ</t>
    </rPh>
    <rPh sb="7" eb="8">
      <t>ワリ</t>
    </rPh>
    <rPh sb="10" eb="11">
      <t>ワリ</t>
    </rPh>
    <rPh sb="11" eb="13">
      <t>ケイゲン</t>
    </rPh>
    <rPh sb="14" eb="17">
      <t>セタイヌシ</t>
    </rPh>
    <rPh sb="17" eb="18">
      <t>オヨ</t>
    </rPh>
    <rPh sb="19" eb="21">
      <t>セタイ</t>
    </rPh>
    <rPh sb="22" eb="26">
      <t>ヒホケンシャ</t>
    </rPh>
    <rPh sb="27" eb="29">
      <t>ショトク</t>
    </rPh>
    <rPh sb="30" eb="32">
      <t>ゴウケイ</t>
    </rPh>
    <rPh sb="32" eb="33">
      <t>ガク</t>
    </rPh>
    <rPh sb="36" eb="38">
      <t>マンエン</t>
    </rPh>
    <rPh sb="39" eb="41">
      <t>セタイ</t>
    </rPh>
    <rPh sb="42" eb="46">
      <t>ヒホケンシャ</t>
    </rPh>
    <rPh sb="51" eb="52">
      <t>マン</t>
    </rPh>
    <rPh sb="52" eb="53">
      <t>エン</t>
    </rPh>
    <phoneticPr fontId="7"/>
  </si>
  <si>
    <t>（均等割・平等割）2割軽減…世帯主及び世帯の被保険者の所得の合計額≦33万円＋世帯の被保険者×52万円</t>
    <rPh sb="1" eb="3">
      <t>キントウ</t>
    </rPh>
    <rPh sb="3" eb="4">
      <t>ワリ</t>
    </rPh>
    <rPh sb="5" eb="7">
      <t>ビョウドウ</t>
    </rPh>
    <rPh sb="7" eb="8">
      <t>ワリ</t>
    </rPh>
    <rPh sb="10" eb="11">
      <t>ワリ</t>
    </rPh>
    <rPh sb="11" eb="13">
      <t>ケイゲン</t>
    </rPh>
    <rPh sb="14" eb="17">
      <t>セタイヌシ</t>
    </rPh>
    <rPh sb="17" eb="18">
      <t>オヨ</t>
    </rPh>
    <rPh sb="19" eb="21">
      <t>セタイ</t>
    </rPh>
    <rPh sb="22" eb="26">
      <t>ヒホケンシャ</t>
    </rPh>
    <rPh sb="27" eb="29">
      <t>ショトク</t>
    </rPh>
    <rPh sb="30" eb="32">
      <t>ゴウケイ</t>
    </rPh>
    <rPh sb="32" eb="33">
      <t>ガク</t>
    </rPh>
    <rPh sb="36" eb="38">
      <t>マンエン</t>
    </rPh>
    <rPh sb="39" eb="41">
      <t>セタイ</t>
    </rPh>
    <rPh sb="42" eb="46">
      <t>ヒホケンシャ</t>
    </rPh>
    <rPh sb="49" eb="51">
      <t>マンエン</t>
    </rPh>
    <phoneticPr fontId="3"/>
  </si>
  <si>
    <r>
      <t>課税所得金額
(</t>
    </r>
    <r>
      <rPr>
        <sz val="8"/>
        <rFont val="ＭＳ Ｐゴシック"/>
        <family val="3"/>
        <charset val="128"/>
      </rPr>
      <t>所得合計－43万円)</t>
    </r>
    <rPh sb="0" eb="2">
      <t>カゼイ</t>
    </rPh>
    <rPh sb="2" eb="4">
      <t>ショトク</t>
    </rPh>
    <rPh sb="4" eb="6">
      <t>キンガク</t>
    </rPh>
    <rPh sb="8" eb="10">
      <t>ショトク</t>
    </rPh>
    <rPh sb="10" eb="12">
      <t>ゴウケイ</t>
    </rPh>
    <rPh sb="15" eb="17">
      <t>マンエン</t>
    </rPh>
    <phoneticPr fontId="7"/>
  </si>
  <si>
    <t>A-550,000</t>
    <phoneticPr fontId="7"/>
  </si>
  <si>
    <r>
      <t>〔A÷4</t>
    </r>
    <r>
      <rPr>
        <sz val="9"/>
        <rFont val="ＭＳ Ｐゴシック"/>
        <family val="3"/>
        <charset val="128"/>
      </rPr>
      <t>（千円以下切捨て）</t>
    </r>
    <r>
      <rPr>
        <sz val="12"/>
        <rFont val="ＭＳ Ｐゴシック"/>
        <family val="3"/>
        <charset val="128"/>
      </rPr>
      <t>〕×2.4＋100,000</t>
    </r>
    <phoneticPr fontId="7"/>
  </si>
  <si>
    <r>
      <t>〔A÷4</t>
    </r>
    <r>
      <rPr>
        <sz val="9"/>
        <rFont val="ＭＳ Ｐゴシック"/>
        <family val="3"/>
        <charset val="128"/>
      </rPr>
      <t>（千円以下切捨て）</t>
    </r>
    <r>
      <rPr>
        <sz val="12"/>
        <rFont val="ＭＳ Ｐゴシック"/>
        <family val="3"/>
        <charset val="128"/>
      </rPr>
      <t>〕×2.8-80,000</t>
    </r>
    <phoneticPr fontId="7"/>
  </si>
  <si>
    <r>
      <t>〔A÷4</t>
    </r>
    <r>
      <rPr>
        <sz val="9"/>
        <rFont val="ＭＳ Ｐゴシック"/>
        <family val="3"/>
        <charset val="128"/>
      </rPr>
      <t>（千円以下切捨て）</t>
    </r>
    <r>
      <rPr>
        <sz val="12"/>
        <rFont val="ＭＳ Ｐゴシック"/>
        <family val="3"/>
        <charset val="128"/>
      </rPr>
      <t>〕×3.2-440,000</t>
    </r>
    <phoneticPr fontId="7"/>
  </si>
  <si>
    <t>A×0.9-1,100,000</t>
    <phoneticPr fontId="7"/>
  </si>
  <si>
    <t>A-1,950,000</t>
    <phoneticPr fontId="3"/>
  </si>
  <si>
    <t>公的年金等に係る雑所得金額以外の所得に係る合計所得金額　1,000万円以下</t>
    <rPh sb="0" eb="4">
      <t>コウテキネンキン</t>
    </rPh>
    <rPh sb="4" eb="5">
      <t>トウ</t>
    </rPh>
    <rPh sb="6" eb="7">
      <t>カカ</t>
    </rPh>
    <rPh sb="8" eb="11">
      <t>ザツショトク</t>
    </rPh>
    <rPh sb="11" eb="13">
      <t>キンガク</t>
    </rPh>
    <rPh sb="13" eb="15">
      <t>イガイ</t>
    </rPh>
    <rPh sb="16" eb="18">
      <t>ショトク</t>
    </rPh>
    <rPh sb="19" eb="20">
      <t>カカ</t>
    </rPh>
    <rPh sb="21" eb="27">
      <t>ゴウケイショトクキンガク</t>
    </rPh>
    <rPh sb="33" eb="35">
      <t>マンエン</t>
    </rPh>
    <rPh sb="35" eb="37">
      <t>イカ</t>
    </rPh>
    <phoneticPr fontId="30"/>
  </si>
  <si>
    <t>B－110万円</t>
    <rPh sb="5" eb="7">
      <t>マンエン</t>
    </rPh>
    <phoneticPr fontId="7"/>
  </si>
  <si>
    <t>B×75％－27.5万円</t>
    <rPh sb="10" eb="12">
      <t>マンエン</t>
    </rPh>
    <phoneticPr fontId="7"/>
  </si>
  <si>
    <t>B×85％－68.5万円</t>
    <rPh sb="10" eb="12">
      <t>マンエン</t>
    </rPh>
    <phoneticPr fontId="7"/>
  </si>
  <si>
    <t>B×95％－145.5万円</t>
    <rPh sb="11" eb="13">
      <t>マンエン</t>
    </rPh>
    <phoneticPr fontId="7"/>
  </si>
  <si>
    <t>0円</t>
    <rPh sb="1" eb="2">
      <t>エン</t>
    </rPh>
    <phoneticPr fontId="30"/>
  </si>
  <si>
    <t>B－195.5万円</t>
    <rPh sb="7" eb="9">
      <t>マンエン</t>
    </rPh>
    <phoneticPr fontId="7"/>
  </si>
  <si>
    <t>B－60万円</t>
    <rPh sb="4" eb="6">
      <t>マンエン</t>
    </rPh>
    <phoneticPr fontId="7"/>
  </si>
  <si>
    <t>～</t>
    <phoneticPr fontId="30"/>
  </si>
  <si>
    <t>所得金額調整控除</t>
    <rPh sb="0" eb="2">
      <t>ショトク</t>
    </rPh>
    <rPh sb="2" eb="4">
      <t>キンガク</t>
    </rPh>
    <rPh sb="4" eb="6">
      <t>チョウセイ</t>
    </rPh>
    <rPh sb="6" eb="8">
      <t>コウジョ</t>
    </rPh>
    <phoneticPr fontId="30"/>
  </si>
  <si>
    <t>給与所得控除後の金額（上限10万円）</t>
    <rPh sb="0" eb="2">
      <t>キュウヨ</t>
    </rPh>
    <rPh sb="2" eb="4">
      <t>ショトク</t>
    </rPh>
    <rPh sb="4" eb="6">
      <t>コウジョ</t>
    </rPh>
    <rPh sb="6" eb="7">
      <t>ゴ</t>
    </rPh>
    <rPh sb="8" eb="10">
      <t>キンガク</t>
    </rPh>
    <rPh sb="11" eb="13">
      <t>ジョウゲン</t>
    </rPh>
    <rPh sb="15" eb="17">
      <t>マンエン</t>
    </rPh>
    <phoneticPr fontId="30"/>
  </si>
  <si>
    <t>公的年金等に係る雑所得の金額（上限10万円）</t>
    <rPh sb="0" eb="4">
      <t>コウテキネンキン</t>
    </rPh>
    <rPh sb="4" eb="5">
      <t>トウ</t>
    </rPh>
    <rPh sb="6" eb="7">
      <t>カカ</t>
    </rPh>
    <rPh sb="8" eb="11">
      <t>ザツショトク</t>
    </rPh>
    <rPh sb="12" eb="14">
      <t>キンガク</t>
    </rPh>
    <rPh sb="15" eb="17">
      <t>ジョウゲン</t>
    </rPh>
    <rPh sb="19" eb="21">
      <t>マンエン</t>
    </rPh>
    <phoneticPr fontId="30"/>
  </si>
  <si>
    <t>1000万円以下</t>
    <rPh sb="4" eb="6">
      <t>マンエン</t>
    </rPh>
    <rPh sb="6" eb="8">
      <t>イカ</t>
    </rPh>
    <phoneticPr fontId="30"/>
  </si>
  <si>
    <t>1000万円～2000万円以下</t>
    <rPh sb="4" eb="6">
      <t>マンエン</t>
    </rPh>
    <rPh sb="11" eb="13">
      <t>マンエン</t>
    </rPh>
    <rPh sb="13" eb="15">
      <t>イカ</t>
    </rPh>
    <phoneticPr fontId="30"/>
  </si>
  <si>
    <t>公的年金等に係る雑所得金額以外の所得に係る合計所得金額　1,000万円～2000万円以下</t>
    <rPh sb="0" eb="4">
      <t>コウテキネンキン</t>
    </rPh>
    <rPh sb="4" eb="5">
      <t>トウ</t>
    </rPh>
    <rPh sb="6" eb="7">
      <t>カカ</t>
    </rPh>
    <rPh sb="8" eb="11">
      <t>ザツショトク</t>
    </rPh>
    <rPh sb="11" eb="13">
      <t>キンガク</t>
    </rPh>
    <rPh sb="13" eb="15">
      <t>イガイ</t>
    </rPh>
    <rPh sb="16" eb="18">
      <t>ショトク</t>
    </rPh>
    <rPh sb="19" eb="20">
      <t>カカ</t>
    </rPh>
    <rPh sb="21" eb="27">
      <t>ゴウケイショトクキンガク</t>
    </rPh>
    <rPh sb="33" eb="35">
      <t>マンエン</t>
    </rPh>
    <rPh sb="40" eb="42">
      <t>マンエン</t>
    </rPh>
    <rPh sb="42" eb="44">
      <t>イカ</t>
    </rPh>
    <phoneticPr fontId="30"/>
  </si>
  <si>
    <t>B－100万円</t>
    <rPh sb="5" eb="7">
      <t>マンエン</t>
    </rPh>
    <phoneticPr fontId="7"/>
  </si>
  <si>
    <t>B×75％－17.5万円</t>
    <rPh sb="10" eb="12">
      <t>マンエン</t>
    </rPh>
    <phoneticPr fontId="7"/>
  </si>
  <si>
    <t>B×85％－58.5万円</t>
    <rPh sb="10" eb="12">
      <t>マンエン</t>
    </rPh>
    <phoneticPr fontId="7"/>
  </si>
  <si>
    <t>B×95％－135.5万円</t>
    <rPh sb="11" eb="13">
      <t>マンエン</t>
    </rPh>
    <phoneticPr fontId="7"/>
  </si>
  <si>
    <t>B－185.5万円</t>
    <rPh sb="7" eb="9">
      <t>マンエン</t>
    </rPh>
    <phoneticPr fontId="7"/>
  </si>
  <si>
    <t>B－50万円</t>
    <rPh sb="4" eb="6">
      <t>マンエン</t>
    </rPh>
    <phoneticPr fontId="7"/>
  </si>
  <si>
    <t>公的年金等に係る雑所得金額以外の所得に係る合計所得金額　2000万円超</t>
    <rPh sb="0" eb="4">
      <t>コウテキネンキン</t>
    </rPh>
    <rPh sb="4" eb="5">
      <t>トウ</t>
    </rPh>
    <rPh sb="6" eb="7">
      <t>カカ</t>
    </rPh>
    <rPh sb="8" eb="11">
      <t>ザツショトク</t>
    </rPh>
    <rPh sb="11" eb="13">
      <t>キンガク</t>
    </rPh>
    <rPh sb="13" eb="15">
      <t>イガイ</t>
    </rPh>
    <rPh sb="16" eb="18">
      <t>ショトク</t>
    </rPh>
    <rPh sb="19" eb="20">
      <t>カカ</t>
    </rPh>
    <rPh sb="21" eb="27">
      <t>ゴウケイショトクキンガク</t>
    </rPh>
    <rPh sb="32" eb="34">
      <t>マンエン</t>
    </rPh>
    <rPh sb="34" eb="35">
      <t>チョウ</t>
    </rPh>
    <phoneticPr fontId="30"/>
  </si>
  <si>
    <t>B－90万円</t>
    <rPh sb="4" eb="6">
      <t>マンエン</t>
    </rPh>
    <phoneticPr fontId="7"/>
  </si>
  <si>
    <t>B×75％－7.5万円</t>
    <rPh sb="9" eb="11">
      <t>マンエン</t>
    </rPh>
    <phoneticPr fontId="7"/>
  </si>
  <si>
    <t>B×85％－48.5万円</t>
    <rPh sb="10" eb="12">
      <t>マンエン</t>
    </rPh>
    <phoneticPr fontId="7"/>
  </si>
  <si>
    <t>B×95％－125.5万円</t>
    <rPh sb="11" eb="13">
      <t>マンエン</t>
    </rPh>
    <phoneticPr fontId="7"/>
  </si>
  <si>
    <t>B－175.5万円</t>
    <rPh sb="7" eb="9">
      <t>マンエン</t>
    </rPh>
    <phoneticPr fontId="7"/>
  </si>
  <si>
    <t>B－40万円</t>
    <rPh sb="4" eb="6">
      <t>マンエン</t>
    </rPh>
    <phoneticPr fontId="7"/>
  </si>
  <si>
    <t>（均等割・平等割）7割軽減…世帯主及び世帯の被保険者の所得の合計額(総所得金額）≦43万円＋（給与所得者等の数-1）×10万円</t>
    <rPh sb="34" eb="37">
      <t>ソウショトク</t>
    </rPh>
    <rPh sb="37" eb="39">
      <t>キンガク</t>
    </rPh>
    <rPh sb="47" eb="53">
      <t>キュウヨショトクシャトウ</t>
    </rPh>
    <rPh sb="54" eb="55">
      <t>カズ</t>
    </rPh>
    <rPh sb="61" eb="62">
      <t>マン</t>
    </rPh>
    <rPh sb="62" eb="63">
      <t>エン</t>
    </rPh>
    <phoneticPr fontId="3"/>
  </si>
  <si>
    <t>※</t>
    <phoneticPr fontId="34"/>
  </si>
  <si>
    <t>給与所得控除後の給与等の金額及び公的年金に等に係る雑所得の合計額が１０万円を超える場合、給与所得から次の金額を控除します。</t>
  </si>
  <si>
    <t>控除額＝給与所得控除後の金額（上限10万円）＋公的年金に係る雑所得の金額（上限10万円）-10万円</t>
    <rPh sb="0" eb="2">
      <t>コウジョ</t>
    </rPh>
    <rPh sb="2" eb="3">
      <t>ガク</t>
    </rPh>
    <rPh sb="4" eb="6">
      <t>キュウヨ</t>
    </rPh>
    <rPh sb="6" eb="8">
      <t>ショトク</t>
    </rPh>
    <rPh sb="8" eb="10">
      <t>コウジョ</t>
    </rPh>
    <rPh sb="10" eb="11">
      <t>ゴ</t>
    </rPh>
    <rPh sb="12" eb="14">
      <t>キンガク</t>
    </rPh>
    <rPh sb="15" eb="17">
      <t>ジョウゲン</t>
    </rPh>
    <rPh sb="19" eb="21">
      <t>マンエン</t>
    </rPh>
    <rPh sb="23" eb="25">
      <t>コウテキ</t>
    </rPh>
    <rPh sb="25" eb="27">
      <t>ネンキン</t>
    </rPh>
    <rPh sb="28" eb="29">
      <t>カカ</t>
    </rPh>
    <rPh sb="30" eb="33">
      <t>ザツショトク</t>
    </rPh>
    <rPh sb="34" eb="36">
      <t>キンガク</t>
    </rPh>
    <rPh sb="37" eb="39">
      <t>ジョウゲン</t>
    </rPh>
    <rPh sb="41" eb="43">
      <t>マンエン</t>
    </rPh>
    <rPh sb="47" eb="49">
      <t>マンエン</t>
    </rPh>
    <phoneticPr fontId="34"/>
  </si>
  <si>
    <t>前年中の所得に
応じて計算</t>
    <rPh sb="0" eb="3">
      <t>ゼンネンチュウ</t>
    </rPh>
    <rPh sb="4" eb="6">
      <t>ショトク</t>
    </rPh>
    <rPh sb="8" eb="9">
      <t>オウ</t>
    </rPh>
    <rPh sb="11" eb="13">
      <t>ケイサン</t>
    </rPh>
    <phoneticPr fontId="7"/>
  </si>
  <si>
    <t>１世帯あたり
いくらと計算</t>
    <rPh sb="1" eb="3">
      <t>セタイ</t>
    </rPh>
    <rPh sb="11" eb="13">
      <t>ケイサン</t>
    </rPh>
    <phoneticPr fontId="7"/>
  </si>
  <si>
    <t>前年中の所得（所得合計)
－基礎控除額（４３万円）</t>
    <rPh sb="0" eb="3">
      <t>ゼンネンチュウ</t>
    </rPh>
    <rPh sb="4" eb="6">
      <t>ショトク</t>
    </rPh>
    <rPh sb="7" eb="9">
      <t>ショトク</t>
    </rPh>
    <rPh sb="9" eb="11">
      <t>ゴウケイ</t>
    </rPh>
    <rPh sb="14" eb="16">
      <t>キソ</t>
    </rPh>
    <rPh sb="16" eb="18">
      <t>コウジョ</t>
    </rPh>
    <rPh sb="18" eb="19">
      <t>ガク</t>
    </rPh>
    <rPh sb="22" eb="24">
      <t>マンエン</t>
    </rPh>
    <phoneticPr fontId="7"/>
  </si>
  <si>
    <t>所得割額、均等割額、平等割額の合計が医療保険分、後期支援分、介護保険分、子ども・子育て支援金分でそれぞれ定める上限額を超えた場合は超えた分の金額は課税されません</t>
    <rPh sb="0" eb="2">
      <t>ショトク</t>
    </rPh>
    <rPh sb="2" eb="3">
      <t>ワリ</t>
    </rPh>
    <rPh sb="3" eb="4">
      <t>ガク</t>
    </rPh>
    <rPh sb="5" eb="8">
      <t>キントウワリ</t>
    </rPh>
    <rPh sb="8" eb="9">
      <t>ガク</t>
    </rPh>
    <rPh sb="10" eb="12">
      <t>ビョウドウ</t>
    </rPh>
    <rPh sb="12" eb="13">
      <t>ワリ</t>
    </rPh>
    <rPh sb="13" eb="14">
      <t>ガク</t>
    </rPh>
    <rPh sb="15" eb="17">
      <t>ゴウケイ</t>
    </rPh>
    <rPh sb="18" eb="20">
      <t>イリョウ</t>
    </rPh>
    <rPh sb="20" eb="22">
      <t>ホケン</t>
    </rPh>
    <rPh sb="22" eb="23">
      <t>ブン</t>
    </rPh>
    <rPh sb="24" eb="26">
      <t>コウキ</t>
    </rPh>
    <rPh sb="26" eb="28">
      <t>シエン</t>
    </rPh>
    <rPh sb="28" eb="29">
      <t>ブン</t>
    </rPh>
    <rPh sb="30" eb="32">
      <t>カイゴ</t>
    </rPh>
    <rPh sb="32" eb="34">
      <t>ホケン</t>
    </rPh>
    <rPh sb="34" eb="35">
      <t>ブン</t>
    </rPh>
    <rPh sb="36" eb="37">
      <t>コ</t>
    </rPh>
    <rPh sb="40" eb="42">
      <t>コソダ</t>
    </rPh>
    <rPh sb="43" eb="46">
      <t>シエンキン</t>
    </rPh>
    <rPh sb="46" eb="47">
      <t>ブン</t>
    </rPh>
    <rPh sb="52" eb="53">
      <t>サダ</t>
    </rPh>
    <rPh sb="55" eb="58">
      <t>ジョウゲンガク</t>
    </rPh>
    <rPh sb="59" eb="60">
      <t>コ</t>
    </rPh>
    <rPh sb="62" eb="64">
      <t>バアイ</t>
    </rPh>
    <rPh sb="65" eb="66">
      <t>コ</t>
    </rPh>
    <rPh sb="68" eb="69">
      <t>ブン</t>
    </rPh>
    <rPh sb="70" eb="72">
      <t>キンガク</t>
    </rPh>
    <rPh sb="73" eb="75">
      <t>カゼイ</t>
    </rPh>
    <phoneticPr fontId="7"/>
  </si>
  <si>
    <t>子ども分</t>
    <rPh sb="0" eb="1">
      <t>コ</t>
    </rPh>
    <rPh sb="3" eb="4">
      <t>ブン</t>
    </rPh>
    <phoneticPr fontId="7"/>
  </si>
  <si>
    <t>介護保険分</t>
    <rPh sb="0" eb="2">
      <t>カイゴ</t>
    </rPh>
    <rPh sb="2" eb="4">
      <t>ホケン</t>
    </rPh>
    <rPh sb="4" eb="5">
      <t>ブン</t>
    </rPh>
    <phoneticPr fontId="34"/>
  </si>
  <si>
    <t>保険税額（年間）は</t>
    <phoneticPr fontId="7"/>
  </si>
  <si>
    <t>みよし市国民健康保険</t>
    <rPh sb="3" eb="4">
      <t>シ</t>
    </rPh>
    <rPh sb="4" eb="6">
      <t>コクミン</t>
    </rPh>
    <rPh sb="6" eb="8">
      <t>ケンコウ</t>
    </rPh>
    <rPh sb="8" eb="10">
      <t>ホケン</t>
    </rPh>
    <phoneticPr fontId="7"/>
  </si>
  <si>
    <t>子ども・
子育て支援金分</t>
    <phoneticPr fontId="34"/>
  </si>
  <si>
    <t>子ども・
子育て支援金分</t>
    <phoneticPr fontId="34"/>
  </si>
  <si>
    <r>
      <t>（均等割・平等割）5割軽減…総所得金額≦4</t>
    </r>
    <r>
      <rPr>
        <sz val="11"/>
        <color theme="1"/>
        <rFont val="ＭＳ Ｐゴシック"/>
        <family val="3"/>
        <charset val="128"/>
        <scheme val="minor"/>
      </rPr>
      <t>3万円＋世帯の被保険者×31万円＋</t>
    </r>
    <r>
      <rPr>
        <sz val="11"/>
        <rFont val="ＭＳ Ｐゴシック"/>
        <family val="3"/>
        <charset val="128"/>
      </rPr>
      <t>（給与所得者等の数-1）×10万円</t>
    </r>
    <rPh sb="1" eb="4">
      <t>キントウワ</t>
    </rPh>
    <rPh sb="5" eb="7">
      <t>ビョウドウ</t>
    </rPh>
    <rPh sb="7" eb="8">
      <t>ワリ</t>
    </rPh>
    <rPh sb="10" eb="11">
      <t>ワリ</t>
    </rPh>
    <rPh sb="11" eb="13">
      <t>ケイゲン</t>
    </rPh>
    <rPh sb="14" eb="17">
      <t>ソウショトク</t>
    </rPh>
    <rPh sb="17" eb="19">
      <t>キンガク</t>
    </rPh>
    <rPh sb="22" eb="24">
      <t>マンエン</t>
    </rPh>
    <rPh sb="25" eb="27">
      <t>セタイ</t>
    </rPh>
    <rPh sb="28" eb="32">
      <t>ヒホケンシャ</t>
    </rPh>
    <rPh sb="35" eb="36">
      <t>マン</t>
    </rPh>
    <rPh sb="36" eb="37">
      <t>エン</t>
    </rPh>
    <phoneticPr fontId="3"/>
  </si>
  <si>
    <t>※１：</t>
    <phoneticPr fontId="7"/>
  </si>
  <si>
    <t>※２：</t>
    <phoneticPr fontId="7"/>
  </si>
  <si>
    <t>１８歳以上（１８歳に達する日以降の最初の３月３１日までにある方を除く）の方にたいして課税されます。</t>
    <rPh sb="2" eb="3">
      <t>サイ</t>
    </rPh>
    <rPh sb="3" eb="5">
      <t>イジョウ</t>
    </rPh>
    <rPh sb="8" eb="9">
      <t>サイ</t>
    </rPh>
    <rPh sb="10" eb="11">
      <t>タッ</t>
    </rPh>
    <rPh sb="13" eb="14">
      <t>ヒ</t>
    </rPh>
    <rPh sb="14" eb="16">
      <t>イコウ</t>
    </rPh>
    <rPh sb="17" eb="19">
      <t>サイショ</t>
    </rPh>
    <rPh sb="21" eb="22">
      <t>ガツ</t>
    </rPh>
    <rPh sb="24" eb="25">
      <t>ニチ</t>
    </rPh>
    <rPh sb="30" eb="31">
      <t>カタ</t>
    </rPh>
    <rPh sb="32" eb="33">
      <t>ノゾ</t>
    </rPh>
    <rPh sb="36" eb="37">
      <t>カタ</t>
    </rPh>
    <rPh sb="42" eb="44">
      <t>カゼイ</t>
    </rPh>
    <phoneticPr fontId="34"/>
  </si>
  <si>
    <t>子ども</t>
    <rPh sb="0" eb="1">
      <t>コ</t>
    </rPh>
    <phoneticPr fontId="7"/>
  </si>
  <si>
    <t>こども分
（総所得）</t>
    <rPh sb="3" eb="4">
      <t>ブン</t>
    </rPh>
    <rPh sb="6" eb="9">
      <t>ソウショトク</t>
    </rPh>
    <phoneticPr fontId="7"/>
  </si>
  <si>
    <t>介護対象人数</t>
    <rPh sb="0" eb="2">
      <t>カイゴ</t>
    </rPh>
    <rPh sb="2" eb="4">
      <t>タイショウ</t>
    </rPh>
    <rPh sb="4" eb="6">
      <t>ニンズウ</t>
    </rPh>
    <phoneticPr fontId="34"/>
  </si>
  <si>
    <t>介護対象総所得</t>
    <rPh sb="0" eb="2">
      <t>カイゴ</t>
    </rPh>
    <rPh sb="2" eb="4">
      <t>タイショウ</t>
    </rPh>
    <rPh sb="4" eb="7">
      <t>ソウショトク</t>
    </rPh>
    <phoneticPr fontId="34"/>
  </si>
  <si>
    <t>子ども対象人数</t>
    <rPh sb="0" eb="1">
      <t>コ</t>
    </rPh>
    <rPh sb="3" eb="5">
      <t>タイショウ</t>
    </rPh>
    <rPh sb="5" eb="7">
      <t>ニンズウ</t>
    </rPh>
    <phoneticPr fontId="34"/>
  </si>
  <si>
    <t>子ども対象総所得</t>
    <rPh sb="0" eb="1">
      <t>コ</t>
    </rPh>
    <rPh sb="3" eb="5">
      <t>タイショウ</t>
    </rPh>
    <rPh sb="5" eb="8">
      <t>ソウショトク</t>
    </rPh>
    <phoneticPr fontId="34"/>
  </si>
  <si>
    <t>給与収入　　⇒　　給与所得</t>
    <rPh sb="0" eb="2">
      <t>キュウヨ</t>
    </rPh>
    <rPh sb="2" eb="4">
      <t>シュウニュウ</t>
    </rPh>
    <rPh sb="9" eb="11">
      <t>キュウヨ</t>
    </rPh>
    <rPh sb="11" eb="13">
      <t>ショトク</t>
    </rPh>
    <phoneticPr fontId="3"/>
  </si>
  <si>
    <t>加入者１</t>
    <rPh sb="0" eb="3">
      <t>カニュウシャ</t>
    </rPh>
    <phoneticPr fontId="3"/>
  </si>
  <si>
    <t>加入者２</t>
    <rPh sb="0" eb="3">
      <t>カニュウシャ</t>
    </rPh>
    <phoneticPr fontId="3"/>
  </si>
  <si>
    <t>加入者３</t>
    <rPh sb="0" eb="3">
      <t>カニュウシャ</t>
    </rPh>
    <phoneticPr fontId="3"/>
  </si>
  <si>
    <t>加入者４</t>
    <rPh sb="0" eb="3">
      <t>カニュウシャ</t>
    </rPh>
    <phoneticPr fontId="3"/>
  </si>
  <si>
    <t>加入者５</t>
    <rPh sb="0" eb="3">
      <t>カニュウシャ</t>
    </rPh>
    <phoneticPr fontId="3"/>
  </si>
  <si>
    <t>～</t>
    <phoneticPr fontId="3"/>
  </si>
  <si>
    <r>
      <t>〔A÷4</t>
    </r>
    <r>
      <rPr>
        <sz val="9"/>
        <rFont val="ＭＳ Ｐゴシック"/>
        <family val="3"/>
        <charset val="128"/>
      </rPr>
      <t>（千円以下切捨て）</t>
    </r>
    <r>
      <rPr>
        <sz val="12"/>
        <rFont val="ＭＳ Ｐゴシック"/>
        <family val="3"/>
        <charset val="128"/>
      </rPr>
      <t>〕×2.8-80,000</t>
    </r>
    <phoneticPr fontId="3"/>
  </si>
  <si>
    <r>
      <t>〔A÷4</t>
    </r>
    <r>
      <rPr>
        <sz val="9"/>
        <rFont val="ＭＳ Ｐゴシック"/>
        <family val="3"/>
        <charset val="128"/>
      </rPr>
      <t>（千円以下切捨て）</t>
    </r>
    <r>
      <rPr>
        <sz val="12"/>
        <rFont val="ＭＳ Ｐゴシック"/>
        <family val="3"/>
        <charset val="128"/>
      </rPr>
      <t>〕×3.2-440,000</t>
    </r>
    <phoneticPr fontId="3"/>
  </si>
  <si>
    <t>A×0.9-1,100,000</t>
    <phoneticPr fontId="3"/>
  </si>
  <si>
    <t>（均等割・平等割）2割軽減…総所得金額≦43万円＋世帯の被保険者×57万円＋（給与所得者等の数-1）×10万円</t>
    <phoneticPr fontId="34"/>
  </si>
  <si>
    <t xml:space="preserve"> ※　未就学児につき算定した均等割額については、半額が減額になります。</t>
    <rPh sb="3" eb="7">
      <t>ミシュウガクジ</t>
    </rPh>
    <rPh sb="10" eb="12">
      <t>サンテイ</t>
    </rPh>
    <rPh sb="14" eb="18">
      <t>キントウワリガク</t>
    </rPh>
    <rPh sb="24" eb="26">
      <t>ハンガク</t>
    </rPh>
    <rPh sb="27" eb="29">
      <t>ゲンガク</t>
    </rPh>
    <phoneticPr fontId="3"/>
  </si>
  <si>
    <t>※</t>
    <phoneticPr fontId="34"/>
  </si>
  <si>
    <t>A-650,000</t>
    <phoneticPr fontId="3"/>
  </si>
  <si>
    <t>給与</t>
    <rPh sb="0" eb="2">
      <t>キュウヨ</t>
    </rPh>
    <phoneticPr fontId="3"/>
  </si>
  <si>
    <t>年金</t>
    <rPh sb="0" eb="2">
      <t>ネンキン</t>
    </rPh>
    <phoneticPr fontId="3"/>
  </si>
  <si>
    <t>前年中の所得
（給　　与）</t>
    <rPh sb="0" eb="3">
      <t>ゼンネンチュウ</t>
    </rPh>
    <rPh sb="4" eb="6">
      <t>ショトク</t>
    </rPh>
    <rPh sb="8" eb="9">
      <t>キュウ</t>
    </rPh>
    <rPh sb="11" eb="12">
      <t>アタエ</t>
    </rPh>
    <phoneticPr fontId="3"/>
  </si>
  <si>
    <t>前年中の所得
（年　　金）</t>
    <rPh sb="0" eb="3">
      <t>ゼンネンチュウ</t>
    </rPh>
    <rPh sb="4" eb="6">
      <t>ショトク</t>
    </rPh>
    <rPh sb="8" eb="9">
      <t>トシ</t>
    </rPh>
    <rPh sb="11" eb="12">
      <t>キン</t>
    </rPh>
    <phoneticPr fontId="3"/>
  </si>
  <si>
    <t>前年中の所得
（その他）</t>
    <rPh sb="0" eb="3">
      <t>ゼンネンチュウ</t>
    </rPh>
    <rPh sb="4" eb="6">
      <t>ショトク</t>
    </rPh>
    <rPh sb="10" eb="11">
      <t>ホカ</t>
    </rPh>
    <phoneticPr fontId="3"/>
  </si>
  <si>
    <r>
      <t>※令和７年中の所得に基づく限度額適用の区分変更は、
　 令和８年８月１日からとなります。
※みよし市は１年間の保険税額を８回（８期）に分けて
    納めていただいております。そのため、１回（1期）
　  あたりの金額が</t>
    </r>
    <r>
      <rPr>
        <u val="double"/>
        <sz val="10"/>
        <color indexed="10"/>
        <rFont val="ＭＳ Ｐゴシック"/>
        <family val="3"/>
        <charset val="128"/>
      </rPr>
      <t>ひと月あたりの金額と異なります</t>
    </r>
    <r>
      <rPr>
        <sz val="10"/>
        <color indexed="10"/>
        <rFont val="ＭＳ Ｐゴシック"/>
        <family val="3"/>
        <charset val="128"/>
      </rPr>
      <t>。</t>
    </r>
    <rPh sb="1" eb="3">
      <t>レイワ</t>
    </rPh>
    <rPh sb="4" eb="5">
      <t>ネン</t>
    </rPh>
    <rPh sb="5" eb="6">
      <t>チュウ</t>
    </rPh>
    <rPh sb="7" eb="9">
      <t>ショトク</t>
    </rPh>
    <rPh sb="10" eb="11">
      <t>モト</t>
    </rPh>
    <rPh sb="13" eb="18">
      <t>ゲンドガクテキヨウ</t>
    </rPh>
    <rPh sb="19" eb="21">
      <t>クブン</t>
    </rPh>
    <rPh sb="21" eb="23">
      <t>ヘンコウ</t>
    </rPh>
    <rPh sb="28" eb="30">
      <t>レイワ</t>
    </rPh>
    <rPh sb="31" eb="32">
      <t>ネン</t>
    </rPh>
    <rPh sb="33" eb="34">
      <t>ガツ</t>
    </rPh>
    <rPh sb="35" eb="36">
      <t>ニチ</t>
    </rPh>
    <rPh sb="75" eb="76">
      <t>オサ</t>
    </rPh>
    <phoneticPr fontId="3"/>
  </si>
  <si>
    <t>国民健康保険　
加入者</t>
    <rPh sb="0" eb="2">
      <t>コクミン</t>
    </rPh>
    <rPh sb="2" eb="4">
      <t>ケンコウ</t>
    </rPh>
    <rPh sb="4" eb="6">
      <t>ホケン</t>
    </rPh>
    <rPh sb="8" eb="11">
      <t>カニュウシャ</t>
    </rPh>
    <phoneticPr fontId="7"/>
  </si>
  <si>
    <r>
      <t xml:space="preserve">その他所得
</t>
    </r>
    <r>
      <rPr>
        <sz val="8.5"/>
        <rFont val="ＭＳ Ｐゴシック"/>
        <family val="3"/>
        <charset val="128"/>
      </rPr>
      <t>（営業・農業等）</t>
    </r>
    <rPh sb="2" eb="3">
      <t>ホカ</t>
    </rPh>
    <rPh sb="3" eb="5">
      <t>ショトク</t>
    </rPh>
    <phoneticPr fontId="3"/>
  </si>
  <si>
    <t xml:space="preserve">  介護保険分</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</si>
</sst>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
    <numFmt numFmtId="177" formatCode="0&quot;万&quot;&quot;円&quot;"/>
    <numFmt numFmtId="178" formatCode="&quot;～&quot;0"/>
    <numFmt numFmtId="179" formatCode="0.0000_ "/>
    <numFmt numFmtId="180" formatCode="#,##0_);[Red]\(#,##0\)"/>
    <numFmt numFmtId="181" formatCode="#,###&quot;円&quot;"/>
  </numFmts>
  <fonts count="40" x14ac:knownFonts="1">
    <font>
      <sz val="11"/>
      <color theme="1"/>
      <name val="ＭＳ Ｐゴシック"/>
      <family val="3"/>
      <charset val="128"/>
      <scheme val="minor"/>
    </font>
    <font>
      <sz val="11"/>
      <color indexed="8"/>
      <name val="ＭＳ Ｐゴシック"/>
      <family val="3"/>
      <charset val="128"/>
    </font>
    <font>
      <sz val="12"/>
      <name val="ＭＳ Ｐゴシック"/>
      <family val="3"/>
      <charset val="128"/>
    </font>
    <font>
      <sz val="6"/>
      <name val="ＭＳ Ｐゴシック"/>
      <family val="3"/>
      <charset val="128"/>
    </font>
    <font>
      <b/>
      <i/>
      <sz val="14"/>
      <color indexed="14"/>
      <name val="ＭＳ Ｐゴシック"/>
      <family val="3"/>
      <charset val="128"/>
    </font>
    <font>
      <sz val="11"/>
      <name val="ＭＳ Ｐゴシック"/>
      <family val="3"/>
      <charset val="128"/>
    </font>
    <font>
      <sz val="11"/>
      <color indexed="10"/>
      <name val="ＭＳ Ｐゴシック"/>
      <family val="3"/>
      <charset val="128"/>
    </font>
    <font>
      <sz val="6"/>
      <name val="ＭＳ Ｐゴシック"/>
      <family val="3"/>
      <charset val="128"/>
    </font>
    <font>
      <sz val="36"/>
      <name val="ＭＳ Ｐゴシック"/>
      <family val="3"/>
      <charset val="128"/>
    </font>
    <font>
      <sz val="8"/>
      <name val="ＭＳ Ｐゴシック"/>
      <family val="3"/>
      <charset val="128"/>
    </font>
    <font>
      <sz val="10"/>
      <name val="ＭＳ Ｐゴシック"/>
      <family val="3"/>
      <charset val="128"/>
    </font>
    <font>
      <sz val="12"/>
      <color indexed="12"/>
      <name val="ＭＳ Ｐゴシック"/>
      <family val="3"/>
      <charset val="128"/>
    </font>
    <font>
      <b/>
      <sz val="11"/>
      <color indexed="10"/>
      <name val="ＭＳ Ｐゴシック"/>
      <family val="3"/>
      <charset val="128"/>
    </font>
    <font>
      <b/>
      <sz val="11"/>
      <color indexed="12"/>
      <name val="ＭＳ Ｐゴシック"/>
      <family val="3"/>
      <charset val="128"/>
    </font>
    <font>
      <sz val="9"/>
      <name val="ＭＳ Ｐゴシック"/>
      <family val="3"/>
      <charset val="128"/>
    </font>
    <font>
      <sz val="22"/>
      <name val="ＭＳ Ｐゴシック"/>
      <family val="3"/>
      <charset val="128"/>
    </font>
    <font>
      <sz val="22"/>
      <color indexed="10"/>
      <name val="ＭＳ Ｐゴシック"/>
      <family val="3"/>
      <charset val="128"/>
    </font>
    <font>
      <b/>
      <i/>
      <sz val="16"/>
      <color indexed="14"/>
      <name val="ＭＳ Ｐゴシック"/>
      <family val="3"/>
      <charset val="128"/>
    </font>
    <font>
      <sz val="18"/>
      <name val="ＭＳ Ｐゴシック"/>
      <family val="3"/>
      <charset val="128"/>
    </font>
    <font>
      <sz val="18"/>
      <color indexed="10"/>
      <name val="ＭＳ Ｐゴシック"/>
      <family val="3"/>
      <charset val="128"/>
    </font>
    <font>
      <b/>
      <sz val="12"/>
      <color indexed="12"/>
      <name val="ＭＳ Ｐゴシック"/>
      <family val="3"/>
      <charset val="128"/>
    </font>
    <font>
      <sz val="12"/>
      <color indexed="10"/>
      <name val="ＭＳ Ｐゴシック"/>
      <family val="3"/>
      <charset val="128"/>
    </font>
    <font>
      <b/>
      <sz val="12"/>
      <name val="ＭＳ Ｐゴシック"/>
      <family val="3"/>
      <charset val="128"/>
    </font>
    <font>
      <sz val="11"/>
      <color indexed="12"/>
      <name val="ＭＳ Ｐゴシック"/>
      <family val="3"/>
      <charset val="128"/>
    </font>
    <font>
      <b/>
      <sz val="16"/>
      <name val="ＭＳ Ｐゴシック"/>
      <family val="3"/>
      <charset val="128"/>
    </font>
    <font>
      <b/>
      <sz val="20"/>
      <color indexed="12"/>
      <name val="ＭＳ Ｐゴシック"/>
      <family val="3"/>
      <charset val="128"/>
    </font>
    <font>
      <b/>
      <sz val="20"/>
      <name val="ＭＳ Ｐゴシック"/>
      <family val="3"/>
      <charset val="128"/>
    </font>
    <font>
      <sz val="7"/>
      <name val="ＭＳ Ｐゴシック"/>
      <family val="3"/>
      <charset val="128"/>
    </font>
    <font>
      <sz val="10"/>
      <color indexed="10"/>
      <name val="ＭＳ Ｐゴシック"/>
      <family val="3"/>
      <charset val="128"/>
    </font>
    <font>
      <sz val="10.5"/>
      <name val="ＭＳ Ｐゴシック"/>
      <family val="3"/>
      <charset val="128"/>
    </font>
    <font>
      <sz val="6"/>
      <name val="ＭＳ Ｐゴシック"/>
      <family val="3"/>
      <charset val="128"/>
    </font>
    <font>
      <sz val="9.9"/>
      <color rgb="FF990000"/>
      <name val="ＭＳ Ｐゴシック"/>
      <family val="3"/>
      <charset val="128"/>
      <scheme val="minor"/>
    </font>
    <font>
      <sz val="12"/>
      <color rgb="FF0000FF"/>
      <name val="ＭＳ Ｐゴシック"/>
      <family val="3"/>
      <charset val="128"/>
    </font>
    <font>
      <b/>
      <sz val="12"/>
      <color rgb="FFFF0000"/>
      <name val="ＭＳ Ｐゴシック"/>
      <family val="3"/>
      <charset val="128"/>
    </font>
    <font>
      <sz val="6"/>
      <name val="ＭＳ Ｐゴシック"/>
      <family val="3"/>
      <charset val="128"/>
      <scheme val="minor"/>
    </font>
    <font>
      <sz val="12"/>
      <color rgb="FFFF0000"/>
      <name val="ＭＳ Ｐゴシック"/>
      <family val="3"/>
      <charset val="128"/>
    </font>
    <font>
      <sz val="8.5"/>
      <name val="ＭＳ Ｐゴシック"/>
      <family val="3"/>
      <charset val="128"/>
    </font>
    <font>
      <sz val="9"/>
      <color indexed="12"/>
      <name val="ＭＳ Ｐゴシック"/>
      <family val="3"/>
      <charset val="128"/>
    </font>
    <font>
      <sz val="8"/>
      <color indexed="12"/>
      <name val="ＭＳ Ｐゴシック"/>
      <family val="3"/>
      <charset val="128"/>
    </font>
    <font>
      <u val="double"/>
      <sz val="10"/>
      <color indexed="1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10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right style="medium">
        <color indexed="64"/>
      </right>
      <top style="thin">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medium">
        <color indexed="64"/>
      </top>
      <bottom style="dotted">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dotted">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1">
    <xf numFmtId="0" fontId="0" fillId="0" borderId="0" xfId="0">
      <alignment vertical="center"/>
    </xf>
    <xf numFmtId="0" fontId="4" fillId="0" borderId="0" xfId="0" applyFont="1" applyProtection="1">
      <alignment vertical="center"/>
    </xf>
    <xf numFmtId="0" fontId="2" fillId="0" borderId="0" xfId="0" applyFont="1" applyProtection="1">
      <alignment vertical="center"/>
    </xf>
    <xf numFmtId="0" fontId="2" fillId="2" borderId="1" xfId="0" applyFont="1" applyFill="1" applyBorder="1" applyProtection="1">
      <alignment vertical="center"/>
    </xf>
    <xf numFmtId="0" fontId="2" fillId="2" borderId="2" xfId="0" applyFont="1" applyFill="1" applyBorder="1" applyProtection="1">
      <alignment vertical="center"/>
    </xf>
    <xf numFmtId="0" fontId="8" fillId="0" borderId="0" xfId="0" applyFont="1" applyProtection="1">
      <alignment vertical="center"/>
    </xf>
    <xf numFmtId="0" fontId="5" fillId="0" borderId="0" xfId="0" applyFont="1" applyAlignment="1" applyProtection="1">
      <alignment horizontal="center" vertical="center"/>
    </xf>
    <xf numFmtId="0" fontId="5" fillId="0" borderId="0" xfId="0" applyFont="1" applyProtection="1">
      <alignment vertical="center"/>
    </xf>
    <xf numFmtId="0" fontId="9" fillId="0" borderId="0" xfId="0" applyFont="1" applyProtection="1">
      <alignment vertical="center"/>
    </xf>
    <xf numFmtId="0" fontId="2" fillId="0" borderId="3" xfId="0" applyFont="1" applyBorder="1" applyAlignment="1" applyProtection="1">
      <alignment horizontal="center" vertical="center"/>
    </xf>
    <xf numFmtId="0" fontId="2" fillId="0" borderId="3" xfId="0" applyFont="1" applyBorder="1" applyProtection="1">
      <alignment vertical="center"/>
    </xf>
    <xf numFmtId="0" fontId="2" fillId="0" borderId="7" xfId="0" applyFont="1" applyBorder="1" applyAlignment="1" applyProtection="1">
      <alignment horizontal="center" vertical="center"/>
    </xf>
    <xf numFmtId="0" fontId="17" fillId="0" borderId="0" xfId="0" applyFont="1" applyProtection="1">
      <alignment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2" fillId="0" borderId="0" xfId="0" applyFont="1" applyProtection="1">
      <alignment vertical="center"/>
    </xf>
    <xf numFmtId="0" fontId="24" fillId="0" borderId="0" xfId="0" applyFont="1" applyProtection="1">
      <alignment vertical="center"/>
    </xf>
    <xf numFmtId="0" fontId="20" fillId="0" borderId="0" xfId="0" applyFont="1" applyBorder="1" applyProtection="1">
      <alignment vertical="center"/>
    </xf>
    <xf numFmtId="0" fontId="28" fillId="0" borderId="0" xfId="0" applyFont="1" applyAlignment="1" applyProtection="1">
      <alignment vertical="top" wrapText="1"/>
    </xf>
    <xf numFmtId="0" fontId="6" fillId="0" borderId="0" xfId="0" applyFont="1" applyAlignment="1" applyProtection="1">
      <alignment vertical="top" wrapText="1"/>
    </xf>
    <xf numFmtId="0" fontId="5" fillId="0" borderId="0" xfId="0" applyFont="1" applyAlignment="1" applyProtection="1">
      <alignment vertical="center" wrapText="1"/>
    </xf>
    <xf numFmtId="0" fontId="31" fillId="0" borderId="0" xfId="0" applyFont="1" applyAlignment="1">
      <alignment horizontal="left" vertical="center" indent="15"/>
    </xf>
    <xf numFmtId="0" fontId="26" fillId="0" borderId="0" xfId="0" applyFont="1" applyBorder="1" applyProtection="1">
      <alignment vertical="center"/>
    </xf>
    <xf numFmtId="0" fontId="2" fillId="0" borderId="8" xfId="0" applyFont="1" applyFill="1" applyBorder="1" applyProtection="1">
      <alignment vertical="center"/>
    </xf>
    <xf numFmtId="0" fontId="16" fillId="0" borderId="8" xfId="0" applyFont="1" applyFill="1" applyBorder="1" applyAlignment="1" applyProtection="1">
      <alignment horizontal="center" vertical="center"/>
    </xf>
    <xf numFmtId="0" fontId="2" fillId="0" borderId="0" xfId="0" applyFont="1" applyFill="1" applyBorder="1" applyProtection="1">
      <alignment vertical="center"/>
    </xf>
    <xf numFmtId="0" fontId="15"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38" fontId="2" fillId="0" borderId="0" xfId="1" applyFont="1" applyBorder="1" applyAlignment="1" applyProtection="1">
      <alignment horizontal="center" vertical="center"/>
    </xf>
    <xf numFmtId="38" fontId="32" fillId="0" borderId="0" xfId="0" applyNumberFormat="1" applyFont="1" applyBorder="1" applyAlignment="1" applyProtection="1">
      <alignment vertical="center"/>
    </xf>
    <xf numFmtId="0" fontId="32" fillId="0" borderId="0" xfId="0" applyFont="1" applyBorder="1" applyAlignment="1" applyProtection="1">
      <alignment vertical="center"/>
    </xf>
    <xf numFmtId="38" fontId="32" fillId="0" borderId="0" xfId="0" applyNumberFormat="1" applyFont="1" applyBorder="1" applyAlignment="1" applyProtection="1">
      <alignment horizontal="right" vertical="center"/>
    </xf>
    <xf numFmtId="0" fontId="32" fillId="0" borderId="0" xfId="0" applyFont="1" applyBorder="1" applyAlignment="1" applyProtection="1">
      <alignment horizontal="right" vertical="center"/>
    </xf>
    <xf numFmtId="0" fontId="12" fillId="0" borderId="0" xfId="0" applyFont="1" applyProtection="1">
      <alignment vertical="center"/>
    </xf>
    <xf numFmtId="0" fontId="5" fillId="0" borderId="9" xfId="0" applyFont="1" applyBorder="1" applyAlignment="1" applyProtection="1">
      <alignment vertical="center"/>
    </xf>
    <xf numFmtId="0" fontId="5" fillId="0" borderId="10" xfId="0" applyFont="1" applyBorder="1" applyAlignment="1" applyProtection="1">
      <alignment vertical="center"/>
    </xf>
    <xf numFmtId="0" fontId="5" fillId="0" borderId="11" xfId="0" applyFont="1" applyBorder="1" applyAlignment="1" applyProtection="1">
      <alignment vertical="center"/>
    </xf>
    <xf numFmtId="0" fontId="5" fillId="0" borderId="12" xfId="0" applyFont="1" applyBorder="1" applyAlignment="1" applyProtection="1">
      <alignment vertical="center"/>
    </xf>
    <xf numFmtId="0" fontId="2" fillId="0" borderId="7" xfId="0" applyFont="1" applyBorder="1" applyProtection="1">
      <alignment vertical="center"/>
    </xf>
    <xf numFmtId="0" fontId="26" fillId="0" borderId="0" xfId="0" applyFont="1" applyBorder="1" applyAlignment="1" applyProtection="1">
      <alignment vertical="center"/>
    </xf>
    <xf numFmtId="38" fontId="5" fillId="0" borderId="0" xfId="1" applyFont="1" applyAlignment="1" applyProtection="1">
      <alignment horizontal="center" vertical="center"/>
    </xf>
    <xf numFmtId="0" fontId="5" fillId="0" borderId="13" xfId="0" applyFont="1" applyBorder="1" applyAlignment="1" applyProtection="1">
      <alignment vertical="center"/>
    </xf>
    <xf numFmtId="0" fontId="5" fillId="0" borderId="14" xfId="0" applyFont="1" applyBorder="1" applyAlignment="1" applyProtection="1">
      <alignment vertical="center"/>
    </xf>
    <xf numFmtId="0" fontId="5" fillId="0" borderId="15" xfId="0" applyFont="1" applyBorder="1" applyAlignment="1" applyProtection="1">
      <alignment vertical="center"/>
    </xf>
    <xf numFmtId="0" fontId="5" fillId="0" borderId="16" xfId="0" applyFont="1" applyBorder="1" applyAlignment="1" applyProtection="1">
      <alignment vertical="center"/>
    </xf>
    <xf numFmtId="0" fontId="5" fillId="0" borderId="17" xfId="0" applyFont="1" applyBorder="1" applyAlignment="1" applyProtection="1">
      <alignment vertical="center"/>
    </xf>
    <xf numFmtId="0" fontId="5" fillId="0" borderId="18" xfId="0" applyFont="1" applyBorder="1" applyAlignment="1" applyProtection="1">
      <alignment vertical="center"/>
    </xf>
    <xf numFmtId="0" fontId="10" fillId="0" borderId="18" xfId="0" applyFont="1" applyBorder="1" applyAlignment="1" applyProtection="1">
      <alignment vertical="center" wrapText="1"/>
    </xf>
    <xf numFmtId="0" fontId="10" fillId="0" borderId="15" xfId="0" applyFont="1" applyBorder="1" applyAlignment="1" applyProtection="1">
      <alignment vertical="center" wrapText="1"/>
    </xf>
    <xf numFmtId="0" fontId="2" fillId="0" borderId="3" xfId="0" applyFont="1" applyBorder="1" applyAlignment="1" applyProtection="1">
      <alignment horizontal="center" vertical="center"/>
    </xf>
    <xf numFmtId="0" fontId="2" fillId="0" borderId="20" xfId="0" applyFont="1" applyBorder="1" applyProtection="1">
      <alignment vertical="center"/>
    </xf>
    <xf numFmtId="0" fontId="2" fillId="0" borderId="23" xfId="0" applyFont="1" applyBorder="1" applyAlignment="1" applyProtection="1">
      <alignment horizontal="center" vertical="center"/>
    </xf>
    <xf numFmtId="0" fontId="2" fillId="0" borderId="20" xfId="0" applyFont="1" applyBorder="1" applyProtection="1">
      <alignment vertical="center"/>
    </xf>
    <xf numFmtId="38" fontId="2" fillId="0" borderId="4" xfId="1" applyFont="1" applyBorder="1" applyAlignment="1" applyProtection="1">
      <alignment vertical="center" shrinkToFit="1"/>
    </xf>
    <xf numFmtId="38" fontId="2" fillId="0" borderId="0" xfId="1" applyFont="1" applyBorder="1" applyAlignment="1" applyProtection="1">
      <alignment horizontal="right" vertical="center" shrinkToFit="1"/>
    </xf>
    <xf numFmtId="38" fontId="2" fillId="0" borderId="4" xfId="1" applyFont="1" applyBorder="1" applyAlignment="1" applyProtection="1">
      <alignment horizontal="right" vertical="center" shrinkToFit="1"/>
    </xf>
    <xf numFmtId="38" fontId="2" fillId="0" borderId="0" xfId="1" applyFont="1" applyBorder="1" applyAlignment="1" applyProtection="1">
      <alignment horizontal="right" vertical="center" shrinkToFit="1"/>
    </xf>
    <xf numFmtId="0" fontId="5" fillId="0" borderId="0" xfId="0" applyFont="1" applyAlignment="1" applyProtection="1">
      <alignment horizontal="center" vertical="center"/>
    </xf>
    <xf numFmtId="0" fontId="2" fillId="0" borderId="0"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20" xfId="0" applyFont="1" applyBorder="1" applyProtection="1">
      <alignment vertical="center"/>
    </xf>
    <xf numFmtId="38" fontId="2" fillId="0" borderId="4" xfId="1" applyFont="1" applyBorder="1" applyAlignment="1" applyProtection="1">
      <alignment horizontal="right" vertical="center" shrinkToFit="1"/>
    </xf>
    <xf numFmtId="0" fontId="2" fillId="0" borderId="23" xfId="0" applyFont="1" applyBorder="1" applyAlignment="1" applyProtection="1">
      <alignment horizontal="center" vertical="center"/>
    </xf>
    <xf numFmtId="38" fontId="2" fillId="0" borderId="91" xfId="1" applyFont="1" applyBorder="1" applyAlignment="1" applyProtection="1">
      <alignment horizontal="right" vertical="center" shrinkToFit="1"/>
    </xf>
    <xf numFmtId="0" fontId="2" fillId="0" borderId="52" xfId="0" applyFont="1" applyBorder="1" applyAlignment="1" applyProtection="1">
      <alignment horizontal="center" vertical="center"/>
    </xf>
    <xf numFmtId="38" fontId="2" fillId="0" borderId="22" xfId="1" applyFont="1" applyBorder="1" applyAlignment="1" applyProtection="1">
      <alignment horizontal="right" vertical="center" shrinkToFit="1"/>
    </xf>
    <xf numFmtId="0" fontId="2" fillId="0" borderId="101" xfId="0" applyFont="1" applyBorder="1" applyAlignment="1" applyProtection="1">
      <alignment vertical="center"/>
    </xf>
    <xf numFmtId="0" fontId="10" fillId="0" borderId="9" xfId="0" applyFont="1" applyBorder="1" applyAlignment="1" applyProtection="1">
      <alignment vertical="center" wrapText="1"/>
    </xf>
    <xf numFmtId="0" fontId="10" fillId="0" borderId="10" xfId="0" applyFont="1" applyBorder="1" applyAlignment="1" applyProtection="1">
      <alignment vertical="center" wrapText="1"/>
    </xf>
    <xf numFmtId="0" fontId="10" fillId="0" borderId="0" xfId="0" applyFont="1" applyBorder="1" applyAlignment="1" applyProtection="1">
      <alignment vertical="center" wrapText="1"/>
    </xf>
    <xf numFmtId="180" fontId="13" fillId="0" borderId="0" xfId="0" applyNumberFormat="1" applyFont="1" applyBorder="1" applyAlignment="1" applyProtection="1">
      <alignment vertical="center"/>
    </xf>
    <xf numFmtId="0" fontId="28" fillId="0" borderId="0" xfId="0" applyFont="1" applyAlignment="1" applyProtection="1">
      <alignment vertical="center" wrapText="1"/>
    </xf>
    <xf numFmtId="38" fontId="2" fillId="0" borderId="20" xfId="1" applyFont="1" applyBorder="1" applyAlignment="1" applyProtection="1">
      <alignment vertical="center" shrinkToFit="1"/>
    </xf>
    <xf numFmtId="0" fontId="2" fillId="0" borderId="40" xfId="0" applyFont="1" applyBorder="1" applyProtection="1">
      <alignment vertical="center"/>
    </xf>
    <xf numFmtId="0" fontId="2" fillId="0" borderId="25" xfId="0" applyFont="1" applyBorder="1" applyProtection="1">
      <alignment vertical="center"/>
    </xf>
    <xf numFmtId="0" fontId="2" fillId="0" borderId="66" xfId="0" applyFont="1" applyBorder="1" applyProtection="1">
      <alignment vertical="center"/>
    </xf>
    <xf numFmtId="0" fontId="2" fillId="0" borderId="0" xfId="0" applyFont="1" applyAlignment="1" applyProtection="1">
      <alignment vertical="top"/>
    </xf>
    <xf numFmtId="0" fontId="9" fillId="0" borderId="0" xfId="0" applyFont="1" applyAlignment="1" applyProtection="1">
      <alignment vertical="top"/>
    </xf>
    <xf numFmtId="0" fontId="2" fillId="0" borderId="23"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3" xfId="0" applyFont="1" applyBorder="1" applyAlignment="1" applyProtection="1">
      <alignment horizontal="center" vertical="center"/>
    </xf>
    <xf numFmtId="38" fontId="5" fillId="0" borderId="1" xfId="1" applyFont="1" applyBorder="1" applyAlignment="1" applyProtection="1">
      <alignment horizontal="center" vertical="center"/>
    </xf>
    <xf numFmtId="38" fontId="5" fillId="0" borderId="62" xfId="1" applyFont="1" applyBorder="1" applyAlignment="1" applyProtection="1">
      <alignment horizontal="center" vertical="center"/>
    </xf>
    <xf numFmtId="38" fontId="5" fillId="0" borderId="2" xfId="1" applyFont="1" applyBorder="1" applyAlignment="1" applyProtection="1">
      <alignment horizontal="center" vertical="center"/>
    </xf>
    <xf numFmtId="38" fontId="5" fillId="0" borderId="1" xfId="0" applyNumberFormat="1" applyFont="1" applyBorder="1" applyAlignment="1" applyProtection="1">
      <alignment horizontal="center" vertical="center"/>
    </xf>
    <xf numFmtId="38" fontId="5" fillId="0" borderId="62" xfId="0" applyNumberFormat="1" applyFont="1" applyBorder="1" applyAlignment="1" applyProtection="1">
      <alignment horizontal="center" vertical="center"/>
    </xf>
    <xf numFmtId="38" fontId="5" fillId="0" borderId="2" xfId="0" applyNumberFormat="1" applyFont="1" applyBorder="1" applyAlignment="1" applyProtection="1">
      <alignment horizontal="center" vertical="center"/>
    </xf>
    <xf numFmtId="38" fontId="2" fillId="0" borderId="20" xfId="1" applyFont="1" applyBorder="1" applyAlignment="1" applyProtection="1">
      <alignment horizontal="right" vertical="center" shrinkToFit="1"/>
    </xf>
    <xf numFmtId="38" fontId="2" fillId="0" borderId="0" xfId="1" applyFont="1" applyBorder="1" applyAlignment="1" applyProtection="1">
      <alignment horizontal="right" vertical="center" shrinkToFit="1"/>
    </xf>
    <xf numFmtId="0" fontId="2" fillId="0" borderId="40" xfId="0" applyFont="1" applyBorder="1" applyAlignment="1" applyProtection="1">
      <alignment horizontal="center" vertical="center"/>
    </xf>
    <xf numFmtId="38" fontId="2" fillId="0" borderId="22" xfId="1" applyFont="1" applyBorder="1" applyAlignment="1" applyProtection="1">
      <alignment horizontal="right" vertical="center" shrinkToFit="1"/>
    </xf>
    <xf numFmtId="0" fontId="2" fillId="0" borderId="7" xfId="0" applyFont="1" applyBorder="1" applyAlignment="1" applyProtection="1">
      <alignment horizontal="center" vertical="center"/>
    </xf>
    <xf numFmtId="0" fontId="2" fillId="0" borderId="66"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0" xfId="0" applyFont="1" applyBorder="1" applyProtection="1">
      <alignment vertical="center"/>
    </xf>
    <xf numFmtId="0" fontId="2" fillId="0" borderId="63" xfId="0" applyFont="1" applyBorder="1" applyAlignment="1" applyProtection="1">
      <alignment horizontal="center" vertical="center"/>
    </xf>
    <xf numFmtId="180" fontId="20" fillId="0" borderId="0" xfId="0" applyNumberFormat="1" applyFont="1" applyBorder="1" applyAlignment="1" applyProtection="1">
      <alignment vertical="center" shrinkToFit="1"/>
    </xf>
    <xf numFmtId="0" fontId="5" fillId="0" borderId="0" xfId="0" applyFont="1" applyAlignment="1" applyProtection="1">
      <alignment horizontal="center" vertical="center"/>
    </xf>
    <xf numFmtId="0" fontId="31" fillId="0" borderId="0" xfId="0" applyFont="1" applyAlignment="1" applyProtection="1">
      <alignment horizontal="left" vertical="center" indent="15"/>
    </xf>
    <xf numFmtId="0" fontId="0" fillId="0" borderId="0" xfId="0" applyProtection="1">
      <alignment vertical="center"/>
    </xf>
    <xf numFmtId="0" fontId="28" fillId="0" borderId="0" xfId="0" applyFont="1" applyAlignment="1" applyProtection="1">
      <alignment horizontal="left" vertical="center" wrapText="1"/>
    </xf>
    <xf numFmtId="0" fontId="10" fillId="0" borderId="27"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46"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5" fillId="0" borderId="76" xfId="0" applyFont="1" applyBorder="1" applyAlignment="1" applyProtection="1">
      <alignment horizontal="center" vertical="center"/>
    </xf>
    <xf numFmtId="0" fontId="5" fillId="0" borderId="72" xfId="0" applyFont="1" applyBorder="1" applyAlignment="1" applyProtection="1">
      <alignment horizontal="center" vertical="center"/>
    </xf>
    <xf numFmtId="0" fontId="5" fillId="0" borderId="73" xfId="0" applyFont="1" applyBorder="1" applyAlignment="1" applyProtection="1">
      <alignment horizontal="center" vertical="center"/>
    </xf>
    <xf numFmtId="180" fontId="23" fillId="0" borderId="32" xfId="0" applyNumberFormat="1" applyFont="1" applyBorder="1" applyAlignment="1" applyProtection="1">
      <alignment vertical="center"/>
    </xf>
    <xf numFmtId="0" fontId="23" fillId="0" borderId="24" xfId="0" applyFont="1" applyBorder="1" applyAlignment="1" applyProtection="1">
      <alignment vertical="center"/>
    </xf>
    <xf numFmtId="0" fontId="23" fillId="0" borderId="34" xfId="0" applyFont="1" applyBorder="1" applyAlignment="1" applyProtection="1">
      <alignment vertical="center"/>
    </xf>
    <xf numFmtId="180" fontId="23" fillId="0" borderId="2" xfId="0" applyNumberFormat="1" applyFont="1" applyBorder="1" applyAlignment="1" applyProtection="1">
      <alignment vertical="center"/>
    </xf>
    <xf numFmtId="0" fontId="23" fillId="0" borderId="3" xfId="0" applyFont="1" applyBorder="1" applyAlignment="1" applyProtection="1">
      <alignment vertical="center"/>
    </xf>
    <xf numFmtId="0" fontId="23" fillId="0" borderId="35" xfId="0" applyFont="1" applyBorder="1" applyAlignment="1" applyProtection="1">
      <alignment vertical="center"/>
    </xf>
    <xf numFmtId="180" fontId="23" fillId="0" borderId="83" xfId="0" applyNumberFormat="1" applyFont="1" applyBorder="1" applyAlignment="1" applyProtection="1">
      <alignment vertical="center"/>
    </xf>
    <xf numFmtId="0" fontId="23" fillId="0" borderId="79" xfId="0" applyFont="1" applyBorder="1" applyAlignment="1" applyProtection="1">
      <alignment vertical="center"/>
    </xf>
    <xf numFmtId="0" fontId="23" fillId="0" borderId="80" xfId="0" applyFont="1" applyBorder="1" applyAlignment="1" applyProtection="1">
      <alignment vertical="center"/>
    </xf>
    <xf numFmtId="180" fontId="23" fillId="0" borderId="15" xfId="0" applyNumberFormat="1" applyFont="1" applyBorder="1" applyAlignment="1" applyProtection="1">
      <alignment vertical="center"/>
    </xf>
    <xf numFmtId="0" fontId="23" fillId="0" borderId="56" xfId="0" applyFont="1" applyBorder="1" applyAlignment="1" applyProtection="1">
      <alignment vertical="center"/>
    </xf>
    <xf numFmtId="0" fontId="23" fillId="0" borderId="70" xfId="0" applyFont="1" applyBorder="1" applyAlignment="1" applyProtection="1">
      <alignment vertical="center"/>
    </xf>
    <xf numFmtId="0" fontId="36" fillId="0" borderId="77" xfId="0" applyFont="1" applyBorder="1" applyAlignment="1" applyProtection="1">
      <alignment horizontal="center" vertical="center" wrapText="1"/>
    </xf>
    <xf numFmtId="0" fontId="36" fillId="0" borderId="75" xfId="0" applyFont="1" applyBorder="1" applyAlignment="1" applyProtection="1">
      <alignment horizontal="center" vertical="center"/>
    </xf>
    <xf numFmtId="0" fontId="36" fillId="0" borderId="76" xfId="0" applyFont="1" applyBorder="1" applyAlignment="1" applyProtection="1">
      <alignment horizontal="center" vertical="center"/>
    </xf>
    <xf numFmtId="180" fontId="13" fillId="0" borderId="19" xfId="0" applyNumberFormat="1" applyFont="1" applyBorder="1" applyAlignment="1" applyProtection="1">
      <alignment horizontal="right" vertical="center"/>
    </xf>
    <xf numFmtId="180" fontId="13" fillId="0" borderId="20" xfId="0" applyNumberFormat="1" applyFont="1" applyBorder="1" applyAlignment="1" applyProtection="1">
      <alignment horizontal="right" vertical="center"/>
    </xf>
    <xf numFmtId="180" fontId="13" fillId="0" borderId="9" xfId="0" applyNumberFormat="1" applyFont="1" applyBorder="1" applyAlignment="1" applyProtection="1">
      <alignment horizontal="right" vertical="center"/>
    </xf>
    <xf numFmtId="180" fontId="13" fillId="0" borderId="29" xfId="0" applyNumberFormat="1" applyFont="1" applyBorder="1" applyAlignment="1" applyProtection="1">
      <alignment horizontal="right" vertical="center"/>
    </xf>
    <xf numFmtId="180" fontId="13" fillId="0" borderId="0" xfId="0" applyNumberFormat="1" applyFont="1" applyBorder="1" applyAlignment="1" applyProtection="1">
      <alignment horizontal="right" vertical="center"/>
    </xf>
    <xf numFmtId="180" fontId="13" fillId="0" borderId="13" xfId="0" applyNumberFormat="1" applyFont="1" applyBorder="1" applyAlignment="1" applyProtection="1">
      <alignment horizontal="right" vertical="center"/>
    </xf>
    <xf numFmtId="180" fontId="13" fillId="0" borderId="21" xfId="0" applyNumberFormat="1" applyFont="1" applyBorder="1" applyAlignment="1" applyProtection="1">
      <alignment horizontal="right" vertical="center"/>
    </xf>
    <xf numFmtId="180" fontId="13" fillId="0" borderId="22" xfId="0" applyNumberFormat="1" applyFont="1" applyBorder="1" applyAlignment="1" applyProtection="1">
      <alignment horizontal="right" vertical="center"/>
    </xf>
    <xf numFmtId="180" fontId="13" fillId="0" borderId="12" xfId="0" applyNumberFormat="1" applyFont="1" applyBorder="1" applyAlignment="1" applyProtection="1">
      <alignment horizontal="right" vertical="center"/>
    </xf>
    <xf numFmtId="180" fontId="20" fillId="0" borderId="27" xfId="0" applyNumberFormat="1" applyFont="1" applyBorder="1" applyAlignment="1" applyProtection="1">
      <alignment horizontal="right" vertical="center" shrinkToFit="1"/>
    </xf>
    <xf numFmtId="180" fontId="20" fillId="0" borderId="20" xfId="0" applyNumberFormat="1" applyFont="1" applyBorder="1" applyAlignment="1" applyProtection="1">
      <alignment horizontal="right" vertical="center" shrinkToFit="1"/>
    </xf>
    <xf numFmtId="180" fontId="20" fillId="0" borderId="18" xfId="0" applyNumberFormat="1" applyFont="1" applyBorder="1" applyAlignment="1" applyProtection="1">
      <alignment horizontal="right" vertical="center" shrinkToFit="1"/>
    </xf>
    <xf numFmtId="180" fontId="20" fillId="0" borderId="46" xfId="0" applyNumberFormat="1" applyFont="1" applyBorder="1" applyAlignment="1" applyProtection="1">
      <alignment horizontal="right" vertical="center" shrinkToFit="1"/>
    </xf>
    <xf numFmtId="180" fontId="20" fillId="0" borderId="0" xfId="0" applyNumberFormat="1" applyFont="1" applyBorder="1" applyAlignment="1" applyProtection="1">
      <alignment horizontal="right" vertical="center" shrinkToFit="1"/>
    </xf>
    <xf numFmtId="180" fontId="20" fillId="0" borderId="16" xfId="0" applyNumberFormat="1" applyFont="1" applyBorder="1" applyAlignment="1" applyProtection="1">
      <alignment horizontal="right" vertical="center" shrinkToFit="1"/>
    </xf>
    <xf numFmtId="180" fontId="20" fillId="0" borderId="28" xfId="0" applyNumberFormat="1" applyFont="1" applyBorder="1" applyAlignment="1" applyProtection="1">
      <alignment horizontal="right" vertical="center" shrinkToFit="1"/>
    </xf>
    <xf numFmtId="180" fontId="20" fillId="0" borderId="22" xfId="0" applyNumberFormat="1" applyFont="1" applyBorder="1" applyAlignment="1" applyProtection="1">
      <alignment horizontal="right" vertical="center" shrinkToFit="1"/>
    </xf>
    <xf numFmtId="180" fontId="20" fillId="0" borderId="15" xfId="0" applyNumberFormat="1" applyFont="1" applyBorder="1" applyAlignment="1" applyProtection="1">
      <alignment horizontal="right" vertical="center" shrinkToFit="1"/>
    </xf>
    <xf numFmtId="180" fontId="20" fillId="0" borderId="19" xfId="0" applyNumberFormat="1" applyFont="1" applyBorder="1" applyAlignment="1" applyProtection="1">
      <alignment horizontal="right" vertical="center" shrinkToFit="1"/>
    </xf>
    <xf numFmtId="180" fontId="20" fillId="0" borderId="29" xfId="0" applyNumberFormat="1" applyFont="1" applyBorder="1" applyAlignment="1" applyProtection="1">
      <alignment horizontal="right" vertical="center" shrinkToFit="1"/>
    </xf>
    <xf numFmtId="180" fontId="20" fillId="0" borderId="21" xfId="0" applyNumberFormat="1" applyFont="1" applyBorder="1" applyAlignment="1" applyProtection="1">
      <alignment horizontal="right" vertical="center" shrinkToFit="1"/>
    </xf>
    <xf numFmtId="0" fontId="10" fillId="0" borderId="77" xfId="0" applyFont="1" applyBorder="1" applyAlignment="1" applyProtection="1">
      <alignment horizontal="center" vertical="center"/>
    </xf>
    <xf numFmtId="0" fontId="10" fillId="0" borderId="75" xfId="0" applyFont="1" applyBorder="1" applyAlignment="1" applyProtection="1">
      <alignment horizontal="center" vertical="center"/>
    </xf>
    <xf numFmtId="0" fontId="10" fillId="0" borderId="76" xfId="0" applyFont="1" applyBorder="1" applyAlignment="1" applyProtection="1">
      <alignment horizontal="center" vertical="center"/>
    </xf>
    <xf numFmtId="0" fontId="26" fillId="0" borderId="0" xfId="0" applyFont="1" applyBorder="1" applyAlignment="1" applyProtection="1">
      <alignment horizontal="left" vertical="center"/>
    </xf>
    <xf numFmtId="0" fontId="10" fillId="0" borderId="78" xfId="0" applyFont="1" applyBorder="1" applyAlignment="1" applyProtection="1">
      <alignment horizontal="center" vertical="center"/>
    </xf>
    <xf numFmtId="0" fontId="10" fillId="0" borderId="79" xfId="0" applyFont="1" applyBorder="1" applyAlignment="1" applyProtection="1">
      <alignment horizontal="center" vertical="center"/>
    </xf>
    <xf numFmtId="0" fontId="10" fillId="0" borderId="80" xfId="0" applyFont="1" applyBorder="1" applyAlignment="1" applyProtection="1">
      <alignment horizontal="center" vertical="center"/>
    </xf>
    <xf numFmtId="180" fontId="11" fillId="0" borderId="78" xfId="1" applyNumberFormat="1" applyFont="1" applyBorder="1" applyAlignment="1" applyProtection="1">
      <alignment vertical="center" shrinkToFit="1"/>
    </xf>
    <xf numFmtId="180" fontId="11" fillId="0" borderId="79" xfId="1" applyNumberFormat="1" applyFont="1" applyBorder="1" applyAlignment="1" applyProtection="1">
      <alignment vertical="center" shrinkToFit="1"/>
    </xf>
    <xf numFmtId="180" fontId="11" fillId="0" borderId="81" xfId="1" applyNumberFormat="1" applyFont="1" applyBorder="1" applyAlignment="1" applyProtection="1">
      <alignment vertical="center" shrinkToFit="1"/>
    </xf>
    <xf numFmtId="180" fontId="11" fillId="0" borderId="82" xfId="1" applyNumberFormat="1" applyFont="1" applyBorder="1" applyAlignment="1" applyProtection="1">
      <alignment vertical="center" shrinkToFit="1"/>
    </xf>
    <xf numFmtId="180" fontId="11" fillId="0" borderId="83" xfId="1" applyNumberFormat="1" applyFont="1" applyBorder="1" applyAlignment="1" applyProtection="1">
      <alignment vertical="center" shrinkToFit="1"/>
    </xf>
    <xf numFmtId="0" fontId="10" fillId="0" borderId="25"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35" xfId="0" applyFont="1" applyBorder="1" applyAlignment="1" applyProtection="1">
      <alignment horizontal="center" vertical="center"/>
    </xf>
    <xf numFmtId="180" fontId="11" fillId="0" borderId="25" xfId="1" applyNumberFormat="1" applyFont="1" applyBorder="1" applyAlignment="1" applyProtection="1">
      <alignment vertical="center" shrinkToFit="1"/>
    </xf>
    <xf numFmtId="180" fontId="11" fillId="0" borderId="3" xfId="1" applyNumberFormat="1" applyFont="1" applyBorder="1" applyAlignment="1" applyProtection="1">
      <alignment vertical="center" shrinkToFit="1"/>
    </xf>
    <xf numFmtId="180" fontId="11" fillId="0" borderId="1" xfId="1" applyNumberFormat="1" applyFont="1" applyBorder="1" applyAlignment="1" applyProtection="1">
      <alignment vertical="center" shrinkToFit="1"/>
    </xf>
    <xf numFmtId="180" fontId="11" fillId="0" borderId="62" xfId="1" applyNumberFormat="1" applyFont="1" applyBorder="1" applyAlignment="1" applyProtection="1">
      <alignment vertical="center" shrinkToFit="1"/>
    </xf>
    <xf numFmtId="180" fontId="11" fillId="0" borderId="2" xfId="1" applyNumberFormat="1" applyFont="1" applyBorder="1" applyAlignment="1" applyProtection="1">
      <alignment vertical="center" shrinkToFit="1"/>
    </xf>
    <xf numFmtId="0" fontId="10" fillId="0" borderId="19"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47" xfId="0" applyFont="1" applyBorder="1" applyAlignment="1" applyProtection="1">
      <alignment horizontal="center" vertical="center" wrapText="1"/>
    </xf>
    <xf numFmtId="0" fontId="10" fillId="0" borderId="48"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2" fillId="0" borderId="27"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1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92" xfId="0" applyFont="1" applyBorder="1" applyAlignment="1" applyProtection="1">
      <alignment horizontal="center" vertical="center"/>
    </xf>
    <xf numFmtId="0" fontId="5" fillId="0" borderId="64" xfId="0" applyFont="1" applyBorder="1" applyAlignment="1" applyProtection="1">
      <alignment horizontal="center" vertical="center"/>
    </xf>
    <xf numFmtId="10" fontId="11" fillId="0" borderId="27" xfId="0" applyNumberFormat="1" applyFont="1" applyBorder="1" applyAlignment="1" applyProtection="1">
      <alignment horizontal="center" vertical="center"/>
    </xf>
    <xf numFmtId="10" fontId="11" fillId="0" borderId="20" xfId="0" applyNumberFormat="1" applyFont="1" applyBorder="1" applyAlignment="1" applyProtection="1">
      <alignment horizontal="center" vertical="center"/>
    </xf>
    <xf numFmtId="10" fontId="11" fillId="0" borderId="18" xfId="0" applyNumberFormat="1" applyFont="1" applyBorder="1" applyAlignment="1" applyProtection="1">
      <alignment horizontal="center" vertical="center"/>
    </xf>
    <xf numFmtId="10" fontId="11" fillId="0" borderId="38" xfId="0" applyNumberFormat="1" applyFont="1" applyBorder="1" applyAlignment="1" applyProtection="1">
      <alignment horizontal="center" vertical="center"/>
    </xf>
    <xf numFmtId="10" fontId="11" fillId="0" borderId="8" xfId="0" applyNumberFormat="1" applyFont="1" applyBorder="1" applyAlignment="1" applyProtection="1">
      <alignment horizontal="center" vertical="center"/>
    </xf>
    <xf numFmtId="10" fontId="11" fillId="0" borderId="17" xfId="0" applyNumberFormat="1" applyFont="1" applyBorder="1" applyAlignment="1" applyProtection="1">
      <alignment horizontal="center" vertical="center"/>
    </xf>
    <xf numFmtId="0" fontId="11" fillId="0" borderId="51" xfId="0" applyNumberFormat="1" applyFont="1" applyBorder="1" applyAlignment="1" applyProtection="1">
      <alignment horizontal="center" vertical="center" wrapText="1"/>
    </xf>
    <xf numFmtId="0" fontId="11" fillId="0" borderId="48" xfId="0" applyNumberFormat="1" applyFont="1" applyBorder="1" applyAlignment="1" applyProtection="1">
      <alignment horizontal="center" vertical="center" wrapText="1"/>
    </xf>
    <xf numFmtId="0" fontId="11" fillId="0" borderId="14" xfId="0" applyNumberFormat="1" applyFont="1" applyBorder="1" applyAlignment="1" applyProtection="1">
      <alignment horizontal="center" vertical="center" wrapText="1"/>
    </xf>
    <xf numFmtId="0" fontId="11" fillId="0" borderId="38" xfId="0" applyNumberFormat="1" applyFont="1" applyBorder="1" applyAlignment="1" applyProtection="1">
      <alignment horizontal="center" vertical="center" wrapText="1"/>
    </xf>
    <xf numFmtId="0" fontId="11" fillId="0" borderId="8" xfId="0" applyNumberFormat="1" applyFont="1" applyBorder="1" applyAlignment="1" applyProtection="1">
      <alignment horizontal="center" vertical="center" wrapText="1"/>
    </xf>
    <xf numFmtId="0" fontId="11" fillId="0" borderId="17" xfId="0" applyNumberFormat="1" applyFont="1" applyBorder="1" applyAlignment="1" applyProtection="1">
      <alignment horizontal="center" vertical="center" wrapText="1"/>
    </xf>
    <xf numFmtId="181" fontId="11" fillId="0" borderId="51" xfId="1" applyNumberFormat="1" applyFont="1" applyBorder="1" applyAlignment="1" applyProtection="1">
      <alignment horizontal="center" vertical="center"/>
    </xf>
    <xf numFmtId="181" fontId="11" fillId="0" borderId="48" xfId="1" applyNumberFormat="1" applyFont="1" applyBorder="1" applyAlignment="1" applyProtection="1">
      <alignment horizontal="center" vertical="center"/>
    </xf>
    <xf numFmtId="181" fontId="11" fillId="0" borderId="14" xfId="1" applyNumberFormat="1" applyFont="1" applyBorder="1" applyAlignment="1" applyProtection="1">
      <alignment horizontal="center" vertical="center"/>
    </xf>
    <xf numFmtId="181" fontId="11" fillId="0" borderId="38" xfId="1" applyNumberFormat="1" applyFont="1" applyBorder="1" applyAlignment="1" applyProtection="1">
      <alignment horizontal="center" vertical="center"/>
    </xf>
    <xf numFmtId="181" fontId="11" fillId="0" borderId="8" xfId="1" applyNumberFormat="1" applyFont="1" applyBorder="1" applyAlignment="1" applyProtection="1">
      <alignment horizontal="center" vertical="center"/>
    </xf>
    <xf numFmtId="181" fontId="11" fillId="0" borderId="17" xfId="1" applyNumberFormat="1" applyFont="1" applyBorder="1" applyAlignment="1" applyProtection="1">
      <alignment horizontal="center" vertical="center"/>
    </xf>
    <xf numFmtId="10" fontId="11" fillId="0" borderId="19" xfId="0" applyNumberFormat="1" applyFont="1" applyBorder="1" applyAlignment="1" applyProtection="1">
      <alignment horizontal="center" vertical="center"/>
    </xf>
    <xf numFmtId="10" fontId="11" fillId="0" borderId="26" xfId="0" applyNumberFormat="1" applyFont="1" applyBorder="1" applyAlignment="1" applyProtection="1">
      <alignment horizontal="center" vertical="center"/>
    </xf>
    <xf numFmtId="0" fontId="11" fillId="0" borderId="47" xfId="0" applyNumberFormat="1" applyFont="1" applyBorder="1" applyAlignment="1" applyProtection="1">
      <alignment horizontal="center" vertical="center" wrapText="1"/>
    </xf>
    <xf numFmtId="0" fontId="11" fillId="0" borderId="26" xfId="0" applyNumberFormat="1" applyFont="1" applyBorder="1" applyAlignment="1" applyProtection="1">
      <alignment horizontal="center" vertical="center" wrapText="1"/>
    </xf>
    <xf numFmtId="181" fontId="11" fillId="0" borderId="47" xfId="1" applyNumberFormat="1" applyFont="1" applyBorder="1" applyAlignment="1" applyProtection="1">
      <alignment horizontal="center" vertical="center"/>
    </xf>
    <xf numFmtId="181" fontId="11" fillId="0" borderId="26" xfId="1" applyNumberFormat="1"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3" xfId="0" applyFont="1" applyBorder="1" applyAlignment="1" applyProtection="1">
      <alignment horizontal="center" vertical="center"/>
    </xf>
    <xf numFmtId="180" fontId="21" fillId="2" borderId="47" xfId="1" applyNumberFormat="1" applyFont="1" applyFill="1" applyBorder="1" applyAlignment="1" applyProtection="1">
      <alignment horizontal="center" vertical="center"/>
    </xf>
    <xf numFmtId="180" fontId="21" fillId="2" borderId="48" xfId="1" applyNumberFormat="1" applyFont="1" applyFill="1" applyBorder="1" applyAlignment="1" applyProtection="1">
      <alignment horizontal="center" vertical="center"/>
    </xf>
    <xf numFmtId="180" fontId="21" fillId="2" borderId="14" xfId="1" applyNumberFormat="1" applyFont="1" applyFill="1" applyBorder="1" applyAlignment="1" applyProtection="1">
      <alignment horizontal="center" vertical="center"/>
    </xf>
    <xf numFmtId="180" fontId="21" fillId="2" borderId="26" xfId="1" applyNumberFormat="1" applyFont="1" applyFill="1" applyBorder="1" applyAlignment="1" applyProtection="1">
      <alignment horizontal="center" vertical="center"/>
    </xf>
    <xf numFmtId="180" fontId="21" fillId="2" borderId="8" xfId="1" applyNumberFormat="1" applyFont="1" applyFill="1" applyBorder="1" applyAlignment="1" applyProtection="1">
      <alignment horizontal="center" vertical="center"/>
    </xf>
    <xf numFmtId="180" fontId="21" fillId="2" borderId="17" xfId="1" applyNumberFormat="1" applyFont="1" applyFill="1" applyBorder="1" applyAlignment="1" applyProtection="1">
      <alignment horizontal="center" vertical="center"/>
    </xf>
    <xf numFmtId="180" fontId="21" fillId="2" borderId="3" xfId="1" applyNumberFormat="1" applyFont="1" applyFill="1" applyBorder="1" applyAlignment="1" applyProtection="1">
      <alignment horizontal="center" vertical="center"/>
    </xf>
    <xf numFmtId="179" fontId="21" fillId="2" borderId="47" xfId="0" applyNumberFormat="1" applyFont="1" applyFill="1" applyBorder="1" applyAlignment="1" applyProtection="1">
      <alignment horizontal="center" vertical="center"/>
    </xf>
    <xf numFmtId="179" fontId="21" fillId="2" borderId="48" xfId="0" applyNumberFormat="1" applyFont="1" applyFill="1" applyBorder="1" applyAlignment="1" applyProtection="1">
      <alignment horizontal="center" vertical="center"/>
    </xf>
    <xf numFmtId="179" fontId="21" fillId="2" borderId="14" xfId="0" applyNumberFormat="1" applyFont="1" applyFill="1" applyBorder="1" applyAlignment="1" applyProtection="1">
      <alignment horizontal="center" vertical="center"/>
    </xf>
    <xf numFmtId="179" fontId="21" fillId="2" borderId="26" xfId="0" applyNumberFormat="1" applyFont="1" applyFill="1" applyBorder="1" applyAlignment="1" applyProtection="1">
      <alignment horizontal="center" vertical="center"/>
    </xf>
    <xf numFmtId="179" fontId="21" fillId="2" borderId="8" xfId="0" applyNumberFormat="1" applyFont="1" applyFill="1" applyBorder="1" applyAlignment="1" applyProtection="1">
      <alignment horizontal="center" vertical="center"/>
    </xf>
    <xf numFmtId="179" fontId="21" fillId="2" borderId="17" xfId="0" applyNumberFormat="1" applyFont="1" applyFill="1" applyBorder="1" applyAlignment="1" applyProtection="1">
      <alignment horizontal="center" vertical="center"/>
    </xf>
    <xf numFmtId="180" fontId="21" fillId="2" borderId="47" xfId="1" applyNumberFormat="1" applyFont="1" applyFill="1" applyBorder="1" applyAlignment="1" applyProtection="1">
      <alignment horizontal="center" vertical="center" wrapText="1"/>
    </xf>
    <xf numFmtId="180" fontId="21" fillId="2" borderId="48" xfId="1" applyNumberFormat="1" applyFont="1" applyFill="1" applyBorder="1" applyAlignment="1" applyProtection="1">
      <alignment horizontal="center" vertical="center" wrapText="1"/>
    </xf>
    <xf numFmtId="180" fontId="21" fillId="2" borderId="14" xfId="1" applyNumberFormat="1" applyFont="1" applyFill="1" applyBorder="1" applyAlignment="1" applyProtection="1">
      <alignment horizontal="center" vertical="center" wrapText="1"/>
    </xf>
    <xf numFmtId="180" fontId="21" fillId="2" borderId="26" xfId="1" applyNumberFormat="1" applyFont="1" applyFill="1" applyBorder="1" applyAlignment="1" applyProtection="1">
      <alignment horizontal="center" vertical="center" wrapText="1"/>
    </xf>
    <xf numFmtId="180" fontId="21" fillId="2" borderId="8" xfId="1" applyNumberFormat="1" applyFont="1" applyFill="1" applyBorder="1" applyAlignment="1" applyProtection="1">
      <alignment horizontal="center" vertical="center" wrapText="1"/>
    </xf>
    <xf numFmtId="180" fontId="21" fillId="2" borderId="17" xfId="1"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62"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59" xfId="0" applyFont="1" applyBorder="1" applyAlignment="1" applyProtection="1">
      <alignment horizontal="center" vertical="center"/>
    </xf>
    <xf numFmtId="0" fontId="5" fillId="0" borderId="61" xfId="0" applyFont="1" applyBorder="1" applyAlignment="1" applyProtection="1">
      <alignment horizontal="center" vertical="center" wrapText="1"/>
    </xf>
    <xf numFmtId="0" fontId="5" fillId="0" borderId="61" xfId="0" applyFont="1" applyBorder="1" applyAlignment="1" applyProtection="1">
      <alignment horizontal="left" vertical="center" wrapText="1"/>
    </xf>
    <xf numFmtId="0" fontId="5" fillId="0" borderId="92" xfId="0" applyFont="1" applyBorder="1" applyAlignment="1" applyProtection="1">
      <alignment horizontal="left" vertical="center"/>
    </xf>
    <xf numFmtId="0" fontId="5" fillId="0" borderId="60" xfId="0" applyFont="1" applyBorder="1" applyAlignment="1" applyProtection="1">
      <alignment horizontal="left" vertical="center"/>
    </xf>
    <xf numFmtId="0" fontId="22" fillId="0" borderId="0" xfId="0" applyFont="1" applyBorder="1" applyAlignment="1" applyProtection="1">
      <alignment horizontal="center" vertical="center"/>
    </xf>
    <xf numFmtId="0" fontId="10" fillId="0" borderId="0" xfId="0" applyFont="1" applyAlignment="1" applyProtection="1">
      <alignment horizontal="center" vertical="center"/>
    </xf>
    <xf numFmtId="0" fontId="2" fillId="0" borderId="29" xfId="0" applyFont="1" applyBorder="1" applyAlignment="1" applyProtection="1">
      <alignment horizontal="left" vertical="center" shrinkToFit="1"/>
    </xf>
    <xf numFmtId="0" fontId="2" fillId="0" borderId="0" xfId="0" applyFont="1" applyAlignment="1" applyProtection="1">
      <alignment horizontal="left" vertical="center" shrinkToFit="1"/>
    </xf>
    <xf numFmtId="38" fontId="2" fillId="3" borderId="3" xfId="1" applyFont="1" applyFill="1" applyBorder="1" applyAlignment="1" applyProtection="1">
      <alignment horizontal="center" vertical="center"/>
    </xf>
    <xf numFmtId="0" fontId="14" fillId="0" borderId="1" xfId="0" applyFont="1" applyBorder="1" applyAlignment="1" applyProtection="1">
      <alignment horizontal="left" vertical="center"/>
    </xf>
    <xf numFmtId="0" fontId="14" fillId="0" borderId="62" xfId="0" applyFont="1" applyBorder="1" applyAlignment="1" applyProtection="1">
      <alignment horizontal="left" vertical="center"/>
    </xf>
    <xf numFmtId="0" fontId="14" fillId="0" borderId="2" xfId="0" applyFont="1" applyBorder="1" applyAlignment="1" applyProtection="1">
      <alignment horizontal="left" vertical="center"/>
    </xf>
    <xf numFmtId="38" fontId="5" fillId="0" borderId="1" xfId="1" applyFont="1" applyBorder="1" applyAlignment="1" applyProtection="1">
      <alignment horizontal="center" vertical="center"/>
    </xf>
    <xf numFmtId="38" fontId="5" fillId="0" borderId="62" xfId="1" applyFont="1" applyBorder="1" applyAlignment="1" applyProtection="1">
      <alignment horizontal="center" vertical="center"/>
    </xf>
    <xf numFmtId="38" fontId="5" fillId="0" borderId="2" xfId="1" applyFont="1" applyBorder="1" applyAlignment="1" applyProtection="1">
      <alignment horizontal="center" vertical="center"/>
    </xf>
    <xf numFmtId="38" fontId="5" fillId="0" borderId="1" xfId="0" applyNumberFormat="1" applyFont="1" applyBorder="1" applyAlignment="1" applyProtection="1">
      <alignment horizontal="center" vertical="center"/>
    </xf>
    <xf numFmtId="38" fontId="5" fillId="0" borderId="62" xfId="0" applyNumberFormat="1" applyFont="1" applyBorder="1" applyAlignment="1" applyProtection="1">
      <alignment horizontal="center" vertical="center"/>
    </xf>
    <xf numFmtId="38" fontId="5" fillId="0" borderId="2" xfId="0" applyNumberFormat="1" applyFont="1" applyBorder="1" applyAlignment="1" applyProtection="1">
      <alignment horizontal="center" vertical="center"/>
    </xf>
    <xf numFmtId="0" fontId="5" fillId="0" borderId="0" xfId="0" applyFont="1" applyAlignment="1" applyProtection="1">
      <alignment horizontal="left" vertical="center" shrinkToFit="1"/>
    </xf>
    <xf numFmtId="0" fontId="5" fillId="0" borderId="0" xfId="0" applyFont="1" applyAlignment="1" applyProtection="1">
      <alignment horizontal="left" vertical="top" wrapText="1" shrinkToFit="1"/>
    </xf>
    <xf numFmtId="0" fontId="5" fillId="0" borderId="1" xfId="0" applyFont="1" applyBorder="1" applyAlignment="1" applyProtection="1">
      <alignment horizontal="center" vertical="center"/>
    </xf>
    <xf numFmtId="0" fontId="5" fillId="0" borderId="62" xfId="0" applyFont="1" applyBorder="1" applyAlignment="1" applyProtection="1">
      <alignment horizontal="center" vertical="center"/>
    </xf>
    <xf numFmtId="0" fontId="5" fillId="0" borderId="2" xfId="0" applyFont="1" applyBorder="1" applyAlignment="1" applyProtection="1">
      <alignment horizontal="center" vertical="center"/>
    </xf>
    <xf numFmtId="0" fontId="14" fillId="0" borderId="27"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4" fillId="0" borderId="21"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2" fillId="0" borderId="39" xfId="0" applyFont="1" applyBorder="1" applyAlignment="1" applyProtection="1">
      <alignment horizontal="center" vertical="center"/>
    </xf>
    <xf numFmtId="0" fontId="2" fillId="0" borderId="68" xfId="0" applyFont="1" applyBorder="1" applyAlignment="1" applyProtection="1">
      <alignment horizontal="center" vertical="center"/>
    </xf>
    <xf numFmtId="38" fontId="2" fillId="0" borderId="3" xfId="1" applyFont="1" applyBorder="1" applyAlignment="1" applyProtection="1">
      <alignment horizontal="center" vertical="center"/>
    </xf>
    <xf numFmtId="38" fontId="11" fillId="0" borderId="3" xfId="1" applyFont="1" applyBorder="1" applyProtection="1">
      <alignment vertical="center"/>
    </xf>
    <xf numFmtId="38" fontId="11" fillId="0" borderId="35" xfId="1" applyFont="1" applyBorder="1" applyProtection="1">
      <alignment vertical="center"/>
    </xf>
    <xf numFmtId="176" fontId="2" fillId="0" borderId="19" xfId="0" applyNumberFormat="1" applyFont="1" applyBorder="1" applyAlignment="1" applyProtection="1">
      <alignment horizontal="center" vertical="center"/>
    </xf>
    <xf numFmtId="176" fontId="2" fillId="0" borderId="18" xfId="0" applyNumberFormat="1" applyFont="1" applyBorder="1" applyAlignment="1" applyProtection="1">
      <alignment horizontal="center" vertical="center"/>
    </xf>
    <xf numFmtId="176" fontId="2" fillId="0" borderId="29" xfId="0" applyNumberFormat="1" applyFont="1" applyBorder="1" applyAlignment="1" applyProtection="1">
      <alignment horizontal="center" vertical="center"/>
    </xf>
    <xf numFmtId="176" fontId="2" fillId="0" borderId="16" xfId="0" applyNumberFormat="1" applyFont="1" applyBorder="1" applyAlignment="1" applyProtection="1">
      <alignment horizontal="center" vertical="center"/>
    </xf>
    <xf numFmtId="176" fontId="2" fillId="0" borderId="21" xfId="0" applyNumberFormat="1" applyFont="1" applyBorder="1" applyAlignment="1" applyProtection="1">
      <alignment horizontal="center" vertical="center"/>
    </xf>
    <xf numFmtId="176" fontId="2" fillId="0" borderId="15" xfId="0" applyNumberFormat="1"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27" xfId="0" applyFont="1" applyBorder="1" applyAlignment="1" applyProtection="1">
      <alignment horizontal="right" vertical="center"/>
    </xf>
    <xf numFmtId="0" fontId="2" fillId="0" borderId="20" xfId="0" applyFont="1" applyBorder="1" applyAlignment="1" applyProtection="1">
      <alignment horizontal="right" vertical="center"/>
    </xf>
    <xf numFmtId="0" fontId="2" fillId="0" borderId="18" xfId="0" applyFont="1" applyBorder="1" applyAlignment="1" applyProtection="1">
      <alignment horizontal="right" vertical="center"/>
    </xf>
    <xf numFmtId="0" fontId="2" fillId="0" borderId="101"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38" fontId="11" fillId="0" borderId="30" xfId="1" applyFont="1" applyBorder="1" applyAlignment="1" applyProtection="1">
      <alignment horizontal="right" vertical="center"/>
    </xf>
    <xf numFmtId="38" fontId="11" fillId="0" borderId="31" xfId="1" applyFont="1" applyBorder="1" applyAlignment="1" applyProtection="1">
      <alignment horizontal="right" vertical="center"/>
    </xf>
    <xf numFmtId="38" fontId="11" fillId="0" borderId="32" xfId="1" applyFont="1" applyBorder="1" applyAlignment="1" applyProtection="1">
      <alignment horizontal="right" vertical="center"/>
    </xf>
    <xf numFmtId="38" fontId="11" fillId="0" borderId="59" xfId="1" applyFont="1" applyBorder="1" applyAlignment="1" applyProtection="1">
      <alignment horizontal="right" vertical="center"/>
    </xf>
    <xf numFmtId="0" fontId="5" fillId="0" borderId="27"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7" xfId="0" applyFont="1" applyBorder="1" applyAlignment="1" applyProtection="1">
      <alignment horizontal="center" vertical="center"/>
    </xf>
    <xf numFmtId="0" fontId="12" fillId="2" borderId="19" xfId="0" applyFont="1" applyFill="1" applyBorder="1" applyAlignment="1" applyProtection="1">
      <alignment horizontal="center" vertical="center" shrinkToFit="1"/>
      <protection locked="0"/>
    </xf>
    <xf numFmtId="0" fontId="12" fillId="2" borderId="18"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shrinkToFit="1"/>
      <protection locked="0"/>
    </xf>
    <xf numFmtId="0" fontId="12" fillId="2" borderId="17" xfId="0" applyFont="1" applyFill="1" applyBorder="1" applyAlignment="1" applyProtection="1">
      <alignment horizontal="center" vertical="center" shrinkToFit="1"/>
      <protection locked="0"/>
    </xf>
    <xf numFmtId="0" fontId="5" fillId="0" borderId="39" xfId="0" applyFont="1" applyBorder="1" applyProtection="1">
      <alignment vertical="center"/>
    </xf>
    <xf numFmtId="0" fontId="5" fillId="0" borderId="40" xfId="0" applyFont="1" applyBorder="1" applyProtection="1">
      <alignment vertical="center"/>
    </xf>
    <xf numFmtId="38" fontId="12" fillId="2" borderId="19" xfId="1" applyFont="1" applyFill="1" applyBorder="1" applyAlignment="1" applyProtection="1">
      <alignment horizontal="center" vertical="center" shrinkToFit="1"/>
      <protection locked="0"/>
    </xf>
    <xf numFmtId="38" fontId="12" fillId="2" borderId="20" xfId="1" applyFont="1" applyFill="1" applyBorder="1" applyAlignment="1" applyProtection="1">
      <alignment horizontal="center" vertical="center" shrinkToFit="1"/>
      <protection locked="0"/>
    </xf>
    <xf numFmtId="38" fontId="12" fillId="2" borderId="26" xfId="1" applyFont="1" applyFill="1" applyBorder="1" applyAlignment="1" applyProtection="1">
      <alignment horizontal="center" vertical="center" shrinkToFit="1"/>
      <protection locked="0"/>
    </xf>
    <xf numFmtId="38" fontId="12" fillId="2" borderId="8" xfId="1"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shrinkToFit="1"/>
      <protection locked="0"/>
    </xf>
    <xf numFmtId="0" fontId="2" fillId="3" borderId="20" xfId="0" applyFont="1" applyFill="1" applyBorder="1" applyAlignment="1" applyProtection="1">
      <alignment horizontal="center" vertical="center" shrinkToFit="1"/>
      <protection locked="0"/>
    </xf>
    <xf numFmtId="0" fontId="2" fillId="3" borderId="26"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38" fontId="2" fillId="0" borderId="20" xfId="1" applyFont="1" applyBorder="1" applyAlignment="1" applyProtection="1">
      <alignment horizontal="right" vertical="center" shrinkToFit="1"/>
    </xf>
    <xf numFmtId="38" fontId="2" fillId="0" borderId="31" xfId="1" applyFont="1" applyBorder="1" applyAlignment="1" applyProtection="1">
      <alignment horizontal="right" vertical="center" shrinkToFit="1"/>
    </xf>
    <xf numFmtId="38" fontId="2" fillId="0" borderId="59" xfId="1" applyFont="1" applyBorder="1" applyAlignment="1" applyProtection="1">
      <alignment horizontal="right" vertical="center" shrinkToFit="1"/>
    </xf>
    <xf numFmtId="0" fontId="2" fillId="0" borderId="93" xfId="0" applyFont="1" applyBorder="1" applyAlignment="1" applyProtection="1">
      <alignment horizontal="center" vertical="center"/>
    </xf>
    <xf numFmtId="0" fontId="2" fillId="0" borderId="94" xfId="0" applyFont="1" applyBorder="1" applyAlignment="1" applyProtection="1">
      <alignment horizontal="center" vertical="center"/>
    </xf>
    <xf numFmtId="0" fontId="10" fillId="0" borderId="27" xfId="0" applyFont="1" applyBorder="1" applyAlignment="1" applyProtection="1">
      <alignment horizontal="center" vertical="center" wrapText="1" shrinkToFit="1"/>
    </xf>
    <xf numFmtId="0" fontId="10" fillId="0" borderId="20" xfId="0" applyFont="1" applyBorder="1" applyAlignment="1" applyProtection="1">
      <alignment horizontal="center" vertical="center" wrapText="1" shrinkToFit="1"/>
    </xf>
    <xf numFmtId="0" fontId="10" fillId="0" borderId="9" xfId="0" applyFont="1" applyBorder="1" applyAlignment="1" applyProtection="1">
      <alignment horizontal="center" vertical="center" wrapText="1" shrinkToFit="1"/>
    </xf>
    <xf numFmtId="0" fontId="10" fillId="0" borderId="28" xfId="0" applyFont="1" applyBorder="1" applyAlignment="1" applyProtection="1">
      <alignment horizontal="center" vertical="center" wrapText="1" shrinkToFit="1"/>
    </xf>
    <xf numFmtId="0" fontId="10" fillId="0" borderId="22" xfId="0" applyFont="1" applyBorder="1" applyAlignment="1" applyProtection="1">
      <alignment horizontal="center" vertical="center" wrapText="1" shrinkToFit="1"/>
    </xf>
    <xf numFmtId="0" fontId="10" fillId="0" borderId="12" xfId="0" applyFont="1" applyBorder="1" applyAlignment="1" applyProtection="1">
      <alignment horizontal="center" vertical="center" wrapText="1" shrinkToFit="1"/>
    </xf>
    <xf numFmtId="0" fontId="2" fillId="0" borderId="19"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7" xfId="0" applyFont="1" applyBorder="1" applyAlignment="1" applyProtection="1">
      <alignment horizontal="center" vertical="center"/>
    </xf>
    <xf numFmtId="38" fontId="11" fillId="0" borderId="1" xfId="1" applyFont="1" applyBorder="1" applyAlignment="1" applyProtection="1">
      <alignment horizontal="right" vertical="center"/>
    </xf>
    <xf numFmtId="38" fontId="11" fillId="0" borderId="62" xfId="1" applyFont="1" applyBorder="1" applyAlignment="1" applyProtection="1">
      <alignment horizontal="right" vertical="center"/>
    </xf>
    <xf numFmtId="38" fontId="11" fillId="0" borderId="2" xfId="1" applyFont="1" applyBorder="1" applyAlignment="1" applyProtection="1">
      <alignment horizontal="right" vertical="center"/>
    </xf>
    <xf numFmtId="38" fontId="11" fillId="0" borderId="88" xfId="1" applyFont="1" applyBorder="1" applyAlignment="1" applyProtection="1">
      <alignment horizontal="right" vertical="center"/>
    </xf>
    <xf numFmtId="38" fontId="2" fillId="0" borderId="1" xfId="1" applyFont="1" applyBorder="1" applyAlignment="1" applyProtection="1">
      <alignment horizontal="center" vertical="center"/>
    </xf>
    <xf numFmtId="38" fontId="2" fillId="0" borderId="62" xfId="1" applyFont="1" applyBorder="1" applyAlignment="1" applyProtection="1">
      <alignment horizontal="center" vertical="center"/>
    </xf>
    <xf numFmtId="38" fontId="2" fillId="0" borderId="2" xfId="1" applyFont="1" applyBorder="1" applyAlignment="1" applyProtection="1">
      <alignment horizontal="center" vertical="center"/>
    </xf>
    <xf numFmtId="38" fontId="2" fillId="0" borderId="0" xfId="1" applyFont="1" applyBorder="1" applyAlignment="1" applyProtection="1">
      <alignment horizontal="right" vertical="center" shrinkToFit="1"/>
    </xf>
    <xf numFmtId="38" fontId="2" fillId="0" borderId="62" xfId="1" applyFont="1" applyBorder="1" applyAlignment="1" applyProtection="1">
      <alignment horizontal="right" vertical="center" shrinkToFit="1"/>
    </xf>
    <xf numFmtId="38" fontId="2" fillId="0" borderId="88" xfId="1" applyFont="1" applyBorder="1" applyAlignment="1" applyProtection="1">
      <alignment horizontal="right" vertical="center" shrinkToFit="1"/>
    </xf>
    <xf numFmtId="0" fontId="2" fillId="0" borderId="95" xfId="0" applyFont="1" applyBorder="1" applyAlignment="1" applyProtection="1">
      <alignment horizontal="center" vertical="center"/>
    </xf>
    <xf numFmtId="0" fontId="2" fillId="0" borderId="33" xfId="0" applyFont="1" applyBorder="1" applyAlignment="1" applyProtection="1">
      <alignment horizontal="center" vertical="center"/>
    </xf>
    <xf numFmtId="0" fontId="5" fillId="0" borderId="52" xfId="0" applyFont="1" applyBorder="1" applyProtection="1">
      <alignment vertical="center"/>
    </xf>
    <xf numFmtId="0" fontId="12" fillId="2" borderId="47"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38" fontId="12" fillId="2" borderId="29" xfId="1" applyFont="1" applyFill="1" applyBorder="1" applyAlignment="1" applyProtection="1">
      <alignment horizontal="center" vertical="center" shrinkToFit="1"/>
      <protection locked="0"/>
    </xf>
    <xf numFmtId="38" fontId="12" fillId="2" borderId="0" xfId="1" applyFont="1" applyFill="1" applyBorder="1" applyAlignment="1" applyProtection="1">
      <alignment horizontal="center" vertical="center" shrinkToFit="1"/>
      <protection locked="0"/>
    </xf>
    <xf numFmtId="38" fontId="12" fillId="2" borderId="47" xfId="1" applyFont="1" applyFill="1" applyBorder="1" applyAlignment="1" applyProtection="1">
      <alignment horizontal="center" vertical="center" shrinkToFit="1"/>
      <protection locked="0"/>
    </xf>
    <xf numFmtId="38" fontId="12" fillId="2" borderId="48" xfId="1" applyFont="1" applyFill="1" applyBorder="1" applyAlignment="1" applyProtection="1">
      <alignment horizontal="center" vertical="center" shrinkToFit="1"/>
      <protection locked="0"/>
    </xf>
    <xf numFmtId="0" fontId="11" fillId="0" borderId="44"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0" borderId="3" xfId="0" applyFont="1" applyBorder="1" applyAlignment="1" applyProtection="1">
      <alignment horizontal="center" vertical="center"/>
    </xf>
    <xf numFmtId="38" fontId="11" fillId="0" borderId="47" xfId="1" applyFont="1" applyBorder="1" applyProtection="1">
      <alignment vertical="center"/>
    </xf>
    <xf numFmtId="38" fontId="11" fillId="0" borderId="48" xfId="1" applyFont="1" applyBorder="1" applyProtection="1">
      <alignment vertical="center"/>
    </xf>
    <xf numFmtId="38" fontId="11" fillId="0" borderId="14" xfId="1" applyFont="1" applyBorder="1" applyProtection="1">
      <alignment vertical="center"/>
    </xf>
    <xf numFmtId="38" fontId="11" fillId="0" borderId="26" xfId="1" applyFont="1" applyBorder="1" applyProtection="1">
      <alignment vertical="center"/>
    </xf>
    <xf numFmtId="38" fontId="11" fillId="0" borderId="8" xfId="1" applyFont="1" applyBorder="1" applyProtection="1">
      <alignment vertical="center"/>
    </xf>
    <xf numFmtId="38" fontId="11" fillId="0" borderId="17" xfId="1" applyFont="1" applyBorder="1" applyProtection="1">
      <alignment vertical="center"/>
    </xf>
    <xf numFmtId="38" fontId="11" fillId="0" borderId="47" xfId="1" applyFont="1" applyBorder="1" applyAlignment="1" applyProtection="1">
      <alignment horizontal="right" vertical="center"/>
    </xf>
    <xf numFmtId="38" fontId="11" fillId="0" borderId="48" xfId="1" applyFont="1" applyBorder="1" applyAlignment="1" applyProtection="1">
      <alignment horizontal="right" vertical="center"/>
    </xf>
    <xf numFmtId="38" fontId="11" fillId="0" borderId="26" xfId="1" applyFont="1" applyBorder="1" applyAlignment="1" applyProtection="1">
      <alignment horizontal="right" vertical="center"/>
    </xf>
    <xf numFmtId="38" fontId="11" fillId="0" borderId="8" xfId="1" applyFont="1" applyBorder="1" applyAlignment="1" applyProtection="1">
      <alignment horizontal="right" vertical="center"/>
    </xf>
    <xf numFmtId="38" fontId="13" fillId="4" borderId="19" xfId="1" applyFont="1" applyFill="1" applyBorder="1" applyAlignment="1" applyProtection="1">
      <alignment horizontal="center" vertical="center" shrinkToFit="1"/>
    </xf>
    <xf numFmtId="38" fontId="13" fillId="4" borderId="20" xfId="1" applyFont="1" applyFill="1" applyBorder="1" applyAlignment="1" applyProtection="1">
      <alignment horizontal="center" vertical="center" shrinkToFit="1"/>
    </xf>
    <xf numFmtId="38" fontId="13" fillId="4" borderId="29" xfId="1" applyFont="1" applyFill="1" applyBorder="1" applyAlignment="1" applyProtection="1">
      <alignment horizontal="center" vertical="center" shrinkToFit="1"/>
    </xf>
    <xf numFmtId="38" fontId="13" fillId="4" borderId="0" xfId="1" applyFont="1" applyFill="1" applyBorder="1" applyAlignment="1" applyProtection="1">
      <alignment horizontal="center" vertical="center" shrinkToFit="1"/>
    </xf>
    <xf numFmtId="38" fontId="13" fillId="4" borderId="27" xfId="1" applyFont="1" applyFill="1" applyBorder="1" applyAlignment="1" applyProtection="1">
      <alignment horizontal="center" vertical="center" shrinkToFit="1"/>
    </xf>
    <xf numFmtId="38" fontId="13" fillId="4" borderId="46" xfId="1" applyFont="1" applyFill="1" applyBorder="1" applyAlignment="1" applyProtection="1">
      <alignment horizontal="center" vertical="center" shrinkToFit="1"/>
    </xf>
    <xf numFmtId="0" fontId="11" fillId="0" borderId="41"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0" borderId="43" xfId="0" applyFont="1" applyBorder="1" applyAlignment="1" applyProtection="1">
      <alignment horizontal="center" vertical="center"/>
    </xf>
    <xf numFmtId="38" fontId="11" fillId="0" borderId="1" xfId="1" applyFont="1" applyBorder="1" applyProtection="1">
      <alignment vertical="center"/>
    </xf>
    <xf numFmtId="38" fontId="11" fillId="0" borderId="62" xfId="1" applyFont="1" applyBorder="1" applyProtection="1">
      <alignment vertical="center"/>
    </xf>
    <xf numFmtId="38" fontId="11" fillId="0" borderId="2" xfId="1" applyFont="1" applyBorder="1" applyProtection="1">
      <alignment vertical="center"/>
    </xf>
    <xf numFmtId="38" fontId="11" fillId="0" borderId="88" xfId="1" applyFont="1" applyBorder="1" applyProtection="1">
      <alignment vertical="center"/>
    </xf>
    <xf numFmtId="0" fontId="5" fillId="0" borderId="51" xfId="0" applyFont="1" applyBorder="1" applyAlignment="1" applyProtection="1">
      <alignment horizontal="center" vertical="center"/>
    </xf>
    <xf numFmtId="0" fontId="5" fillId="0" borderId="48" xfId="0" applyFont="1" applyBorder="1" applyAlignment="1" applyProtection="1">
      <alignment horizontal="center" vertical="center"/>
    </xf>
    <xf numFmtId="0" fontId="5" fillId="0" borderId="14" xfId="0" applyFont="1" applyBorder="1" applyAlignment="1" applyProtection="1">
      <alignment horizontal="center" vertical="center"/>
    </xf>
    <xf numFmtId="0" fontId="2" fillId="3" borderId="47" xfId="0" applyFont="1" applyFill="1" applyBorder="1" applyAlignment="1" applyProtection="1">
      <alignment horizontal="center" vertical="center" shrinkToFit="1"/>
      <protection locked="0"/>
    </xf>
    <xf numFmtId="0" fontId="2" fillId="3" borderId="48" xfId="0" applyFont="1" applyFill="1" applyBorder="1" applyAlignment="1" applyProtection="1">
      <alignment horizontal="center" vertical="center" shrinkToFit="1"/>
      <protection locked="0"/>
    </xf>
    <xf numFmtId="38" fontId="13" fillId="4" borderId="47" xfId="1" applyFont="1" applyFill="1" applyBorder="1" applyAlignment="1" applyProtection="1">
      <alignment horizontal="center" vertical="center" shrinkToFit="1"/>
    </xf>
    <xf numFmtId="38" fontId="13" fillId="4" borderId="48" xfId="1" applyFont="1" applyFill="1" applyBorder="1" applyAlignment="1" applyProtection="1">
      <alignment horizontal="center" vertical="center" shrinkToFit="1"/>
    </xf>
    <xf numFmtId="38" fontId="13" fillId="4" borderId="51" xfId="1" applyFont="1" applyFill="1" applyBorder="1" applyAlignment="1" applyProtection="1">
      <alignment horizontal="center" vertical="center" shrinkToFit="1"/>
    </xf>
    <xf numFmtId="38" fontId="13" fillId="4" borderId="38" xfId="1" applyFont="1" applyFill="1" applyBorder="1" applyAlignment="1" applyProtection="1">
      <alignment horizontal="center" vertical="center" shrinkToFit="1"/>
    </xf>
    <xf numFmtId="38" fontId="13" fillId="4" borderId="8" xfId="1" applyFont="1" applyFill="1" applyBorder="1" applyAlignment="1" applyProtection="1">
      <alignment horizontal="center" vertical="center" shrinkToFit="1"/>
    </xf>
    <xf numFmtId="0" fontId="2" fillId="3" borderId="29"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center" vertical="center" shrinkToFit="1"/>
      <protection locked="0"/>
    </xf>
    <xf numFmtId="0" fontId="5" fillId="0" borderId="25" xfId="0" applyFont="1" applyBorder="1" applyAlignment="1" applyProtection="1">
      <alignment horizontal="center" vertical="center"/>
    </xf>
    <xf numFmtId="0" fontId="5" fillId="0" borderId="3" xfId="0" applyFont="1" applyBorder="1" applyAlignment="1" applyProtection="1">
      <alignment horizontal="center" vertical="center"/>
    </xf>
    <xf numFmtId="38" fontId="11" fillId="0" borderId="40" xfId="1" applyFont="1" applyBorder="1" applyProtection="1">
      <alignment vertical="center"/>
    </xf>
    <xf numFmtId="38" fontId="11" fillId="0" borderId="17" xfId="1" applyFont="1" applyBorder="1" applyAlignment="1" applyProtection="1">
      <alignment horizontal="right" vertical="center"/>
    </xf>
    <xf numFmtId="38" fontId="2" fillId="0" borderId="40" xfId="1" applyFont="1" applyBorder="1" applyAlignment="1" applyProtection="1">
      <alignment horizontal="center" vertical="center"/>
    </xf>
    <xf numFmtId="0" fontId="2" fillId="0" borderId="40" xfId="0" applyFont="1" applyBorder="1" applyAlignment="1" applyProtection="1">
      <alignment horizontal="center" vertical="center"/>
    </xf>
    <xf numFmtId="38" fontId="13" fillId="4" borderId="26" xfId="1" applyFont="1" applyFill="1" applyBorder="1" applyAlignment="1" applyProtection="1">
      <alignment horizontal="center" vertical="center" shrinkToFit="1"/>
    </xf>
    <xf numFmtId="178" fontId="2" fillId="0" borderId="29" xfId="0" applyNumberFormat="1" applyFont="1" applyBorder="1" applyAlignment="1" applyProtection="1">
      <alignment horizontal="center" vertical="center"/>
    </xf>
    <xf numFmtId="178" fontId="2" fillId="0" borderId="16" xfId="0" applyNumberFormat="1" applyFont="1" applyBorder="1" applyAlignment="1" applyProtection="1">
      <alignment horizontal="center" vertical="center"/>
    </xf>
    <xf numFmtId="178" fontId="2" fillId="0" borderId="21" xfId="0" applyNumberFormat="1" applyFont="1" applyBorder="1" applyAlignment="1" applyProtection="1">
      <alignment horizontal="center" vertical="center"/>
    </xf>
    <xf numFmtId="178" fontId="2" fillId="0" borderId="15" xfId="0" applyNumberFormat="1" applyFont="1" applyBorder="1" applyAlignment="1" applyProtection="1">
      <alignment horizontal="center" vertical="center"/>
    </xf>
    <xf numFmtId="38" fontId="2" fillId="0" borderId="29" xfId="1" applyFont="1" applyBorder="1" applyAlignment="1" applyProtection="1">
      <alignment horizontal="right" vertical="center" shrinkToFit="1"/>
    </xf>
    <xf numFmtId="0" fontId="2" fillId="0" borderId="98" xfId="0" applyFont="1" applyBorder="1" applyAlignment="1" applyProtection="1">
      <alignment horizontal="center" vertical="center"/>
    </xf>
    <xf numFmtId="0" fontId="2" fillId="0" borderId="92" xfId="0" applyFont="1" applyBorder="1" applyAlignment="1" applyProtection="1">
      <alignment horizontal="center" vertical="center"/>
    </xf>
    <xf numFmtId="0" fontId="2" fillId="0" borderId="64" xfId="0" applyFont="1" applyBorder="1" applyAlignment="1" applyProtection="1">
      <alignment horizontal="center" vertical="center"/>
    </xf>
    <xf numFmtId="38" fontId="2" fillId="0" borderId="22" xfId="1" applyFont="1" applyBorder="1" applyAlignment="1" applyProtection="1">
      <alignment horizontal="right" vertical="center" shrinkToFit="1"/>
    </xf>
    <xf numFmtId="38" fontId="2" fillId="0" borderId="92" xfId="1" applyFont="1" applyBorder="1" applyAlignment="1" applyProtection="1">
      <alignment horizontal="right" vertical="center" shrinkToFit="1"/>
    </xf>
    <xf numFmtId="38" fontId="2" fillId="0" borderId="60" xfId="1" applyFont="1" applyBorder="1" applyAlignment="1" applyProtection="1">
      <alignment horizontal="right" vertical="center" shrinkToFit="1"/>
    </xf>
    <xf numFmtId="38" fontId="32" fillId="0" borderId="7" xfId="0" applyNumberFormat="1" applyFont="1" applyBorder="1" applyAlignment="1" applyProtection="1">
      <alignment vertical="center"/>
    </xf>
    <xf numFmtId="0" fontId="32" fillId="0" borderId="7" xfId="0" applyFont="1" applyBorder="1" applyAlignment="1" applyProtection="1">
      <alignment vertical="center"/>
    </xf>
    <xf numFmtId="38" fontId="32" fillId="0" borderId="7" xfId="0" applyNumberFormat="1" applyFont="1" applyBorder="1" applyAlignment="1" applyProtection="1">
      <alignment horizontal="right" vertical="center"/>
    </xf>
    <xf numFmtId="0" fontId="32" fillId="0" borderId="7" xfId="0" applyFont="1" applyBorder="1" applyAlignment="1" applyProtection="1">
      <alignment horizontal="right" vertical="center"/>
    </xf>
    <xf numFmtId="0" fontId="32" fillId="0" borderId="55" xfId="0" applyFont="1" applyBorder="1" applyAlignment="1" applyProtection="1">
      <alignment horizontal="right" vertical="center"/>
    </xf>
    <xf numFmtId="38" fontId="2" fillId="0" borderId="7" xfId="1" applyFont="1" applyBorder="1" applyAlignment="1" applyProtection="1">
      <alignment horizontal="center" vertical="center"/>
    </xf>
    <xf numFmtId="0" fontId="2" fillId="0" borderId="7" xfId="0" applyFont="1" applyBorder="1" applyAlignment="1" applyProtection="1">
      <alignment horizontal="center" vertical="center"/>
    </xf>
    <xf numFmtId="38" fontId="11" fillId="0" borderId="14" xfId="1" applyFont="1" applyBorder="1" applyAlignment="1" applyProtection="1">
      <alignment horizontal="right" vertical="center"/>
    </xf>
    <xf numFmtId="38" fontId="11" fillId="0" borderId="21" xfId="1" applyFont="1" applyBorder="1" applyAlignment="1" applyProtection="1">
      <alignment horizontal="right" vertical="center"/>
    </xf>
    <xf numFmtId="38" fontId="11" fillId="0" borderId="22" xfId="1" applyFont="1" applyBorder="1" applyAlignment="1" applyProtection="1">
      <alignment horizontal="right" vertical="center"/>
    </xf>
    <xf numFmtId="38" fontId="11" fillId="0" borderId="15" xfId="1" applyFont="1" applyBorder="1" applyAlignment="1" applyProtection="1">
      <alignment horizontal="right" vertical="center"/>
    </xf>
    <xf numFmtId="38" fontId="13" fillId="4" borderId="28" xfId="1" applyFont="1" applyFill="1" applyBorder="1" applyAlignment="1" applyProtection="1">
      <alignment horizontal="center" vertical="center" shrinkToFit="1"/>
    </xf>
    <xf numFmtId="38" fontId="13" fillId="4" borderId="22" xfId="1" applyFont="1" applyFill="1" applyBorder="1" applyAlignment="1" applyProtection="1">
      <alignment horizontal="center" vertical="center" shrinkToFit="1"/>
    </xf>
    <xf numFmtId="0" fontId="11" fillId="0" borderId="57"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100" xfId="0" applyFont="1" applyBorder="1" applyAlignment="1" applyProtection="1">
      <alignment horizontal="center" vertical="center"/>
    </xf>
    <xf numFmtId="38" fontId="2" fillId="0" borderId="8" xfId="1" applyFont="1" applyBorder="1" applyAlignment="1" applyProtection="1">
      <alignment horizontal="right" vertical="center" shrinkToFit="1"/>
    </xf>
    <xf numFmtId="38" fontId="11" fillId="0" borderId="61" xfId="1" applyFont="1" applyBorder="1" applyAlignment="1" applyProtection="1">
      <alignment horizontal="right" vertical="center"/>
    </xf>
    <xf numFmtId="38" fontId="11" fillId="0" borderId="92" xfId="1" applyFont="1" applyBorder="1" applyAlignment="1" applyProtection="1">
      <alignment horizontal="right" vertical="center"/>
    </xf>
    <xf numFmtId="38" fontId="11" fillId="0" borderId="64" xfId="1" applyFont="1" applyBorder="1" applyAlignment="1" applyProtection="1">
      <alignment horizontal="right" vertical="center"/>
    </xf>
    <xf numFmtId="38" fontId="11" fillId="0" borderId="60" xfId="1" applyFont="1" applyBorder="1" applyAlignment="1" applyProtection="1">
      <alignment horizontal="right" vertical="center"/>
    </xf>
    <xf numFmtId="0" fontId="5" fillId="0" borderId="38" xfId="0" applyFont="1" applyBorder="1" applyProtection="1">
      <alignment vertical="center"/>
    </xf>
    <xf numFmtId="0" fontId="5" fillId="0" borderId="8" xfId="0" applyFont="1" applyBorder="1" applyProtection="1">
      <alignment vertical="center"/>
    </xf>
    <xf numFmtId="0" fontId="5" fillId="0" borderId="17" xfId="0" applyFont="1" applyBorder="1" applyProtection="1">
      <alignment vertical="center"/>
    </xf>
    <xf numFmtId="0" fontId="2" fillId="0" borderId="15" xfId="0" applyFont="1" applyBorder="1" applyAlignment="1" applyProtection="1">
      <alignment horizontal="center" vertical="center"/>
    </xf>
    <xf numFmtId="0" fontId="20" fillId="0" borderId="19" xfId="0" applyFont="1" applyBorder="1" applyAlignment="1" applyProtection="1">
      <alignment vertical="center" shrinkToFit="1"/>
    </xf>
    <xf numFmtId="0" fontId="20" fillId="0" borderId="20" xfId="0" applyFont="1" applyBorder="1" applyAlignment="1" applyProtection="1">
      <alignment vertical="center" shrinkToFit="1"/>
    </xf>
    <xf numFmtId="0" fontId="20" fillId="0" borderId="21" xfId="0" applyFont="1" applyBorder="1" applyAlignment="1" applyProtection="1">
      <alignment vertical="center" shrinkToFit="1"/>
    </xf>
    <xf numFmtId="0" fontId="20" fillId="0" borderId="22" xfId="0" applyFont="1" applyBorder="1" applyAlignment="1" applyProtection="1">
      <alignment vertical="center" shrinkToFit="1"/>
    </xf>
    <xf numFmtId="0" fontId="2" fillId="0" borderId="59" xfId="0" applyFont="1" applyBorder="1" applyProtection="1">
      <alignment vertical="center"/>
    </xf>
    <xf numFmtId="0" fontId="2" fillId="0" borderId="60" xfId="0" applyFont="1" applyBorder="1" applyProtection="1">
      <alignment vertical="center"/>
    </xf>
    <xf numFmtId="0" fontId="2" fillId="0" borderId="27"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2" fillId="0" borderId="18" xfId="0" applyFont="1" applyBorder="1" applyAlignment="1" applyProtection="1">
      <alignment horizontal="center" vertical="center" shrinkToFit="1"/>
    </xf>
    <xf numFmtId="0" fontId="2" fillId="0" borderId="28" xfId="0" applyFont="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2" fillId="0" borderId="15" xfId="0" applyFont="1" applyBorder="1" applyAlignment="1" applyProtection="1">
      <alignment horizontal="center" vertical="center" shrinkToFit="1"/>
    </xf>
    <xf numFmtId="38" fontId="20" fillId="0" borderId="24" xfId="0" applyNumberFormat="1" applyFont="1" applyBorder="1" applyAlignment="1" applyProtection="1">
      <alignment vertical="center" shrinkToFit="1"/>
    </xf>
    <xf numFmtId="0" fontId="20" fillId="0" borderId="24" xfId="0" applyFont="1" applyBorder="1" applyAlignment="1" applyProtection="1">
      <alignment vertical="center" shrinkToFit="1"/>
    </xf>
    <xf numFmtId="0" fontId="20" fillId="0" borderId="30" xfId="0" applyFont="1" applyBorder="1" applyAlignment="1" applyProtection="1">
      <alignment vertical="center" shrinkToFit="1"/>
    </xf>
    <xf numFmtId="0" fontId="20" fillId="0" borderId="7" xfId="0" applyFont="1" applyBorder="1" applyAlignment="1" applyProtection="1">
      <alignment vertical="center" shrinkToFit="1"/>
    </xf>
    <xf numFmtId="0" fontId="20" fillId="0" borderId="61" xfId="0" applyFont="1" applyBorder="1" applyAlignment="1" applyProtection="1">
      <alignment vertical="center" shrinkToFit="1"/>
    </xf>
    <xf numFmtId="38" fontId="2" fillId="0" borderId="20" xfId="0" applyNumberFormat="1" applyFont="1" applyBorder="1" applyAlignment="1" applyProtection="1">
      <alignment horizontal="center" vertical="center"/>
    </xf>
    <xf numFmtId="38" fontId="2" fillId="0" borderId="0" xfId="0" applyNumberFormat="1" applyFont="1" applyBorder="1" applyAlignment="1" applyProtection="1">
      <alignment horizontal="center" vertical="center"/>
    </xf>
    <xf numFmtId="38" fontId="11" fillId="0" borderId="7" xfId="1" applyFont="1" applyBorder="1" applyProtection="1">
      <alignment vertical="center"/>
    </xf>
    <xf numFmtId="0" fontId="5" fillId="0" borderId="28"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15" xfId="0" applyFont="1" applyBorder="1" applyAlignment="1" applyProtection="1">
      <alignment horizontal="center" vertical="center"/>
    </xf>
    <xf numFmtId="38" fontId="11" fillId="0" borderId="12" xfId="1" applyFont="1" applyBorder="1" applyAlignment="1" applyProtection="1">
      <alignment horizontal="right" vertical="center"/>
    </xf>
    <xf numFmtId="0" fontId="2" fillId="0" borderId="3" xfId="0" applyFont="1" applyBorder="1" applyAlignment="1" applyProtection="1">
      <alignment horizontal="center" vertical="center" wrapText="1"/>
    </xf>
    <xf numFmtId="0" fontId="2" fillId="0" borderId="47" xfId="0" applyFont="1" applyBorder="1" applyProtection="1">
      <alignment vertical="center"/>
    </xf>
    <xf numFmtId="0" fontId="2" fillId="0" borderId="48" xfId="0" applyFont="1" applyBorder="1" applyProtection="1">
      <alignment vertical="center"/>
    </xf>
    <xf numFmtId="0" fontId="2" fillId="0" borderId="14" xfId="0" applyFont="1" applyBorder="1" applyProtection="1">
      <alignment vertical="center"/>
    </xf>
    <xf numFmtId="0" fontId="2" fillId="0" borderId="26" xfId="0" applyFont="1" applyBorder="1" applyProtection="1">
      <alignment vertical="center"/>
    </xf>
    <xf numFmtId="0" fontId="2" fillId="0" borderId="8" xfId="0" applyFont="1" applyBorder="1" applyProtection="1">
      <alignment vertical="center"/>
    </xf>
    <xf numFmtId="0" fontId="2" fillId="0" borderId="17" xfId="0" applyFont="1" applyBorder="1" applyProtection="1">
      <alignment vertical="center"/>
    </xf>
    <xf numFmtId="0" fontId="5" fillId="0" borderId="3" xfId="0" applyFont="1" applyBorder="1" applyAlignment="1" applyProtection="1">
      <alignment horizontal="center" vertical="center" wrapText="1"/>
    </xf>
    <xf numFmtId="0" fontId="35" fillId="0" borderId="47"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14" xfId="0" applyFont="1" applyBorder="1" applyAlignment="1" applyProtection="1">
      <alignment horizontal="center" vertical="center"/>
    </xf>
    <xf numFmtId="0" fontId="35" fillId="0" borderId="26" xfId="0" applyFont="1" applyBorder="1" applyAlignment="1" applyProtection="1">
      <alignment horizontal="center" vertical="center"/>
    </xf>
    <xf numFmtId="0" fontId="35" fillId="0" borderId="8" xfId="0" applyFont="1" applyBorder="1" applyAlignment="1" applyProtection="1">
      <alignment horizontal="center" vertical="center"/>
    </xf>
    <xf numFmtId="0" fontId="35" fillId="0" borderId="17" xfId="0" applyFont="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62"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9" fillId="2" borderId="26"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38" fontId="2" fillId="0" borderId="21" xfId="1" applyFont="1" applyBorder="1" applyAlignment="1" applyProtection="1">
      <alignment horizontal="right" vertical="center" shrinkToFit="1"/>
    </xf>
    <xf numFmtId="0" fontId="2" fillId="0" borderId="71" xfId="0" applyFont="1" applyBorder="1" applyProtection="1">
      <alignment vertical="center"/>
    </xf>
    <xf numFmtId="0" fontId="2" fillId="0" borderId="72" xfId="0" applyFont="1" applyBorder="1" applyProtection="1">
      <alignment vertical="center"/>
    </xf>
    <xf numFmtId="0" fontId="2" fillId="0" borderId="73" xfId="0" applyFont="1" applyBorder="1" applyProtection="1">
      <alignment vertical="center"/>
    </xf>
    <xf numFmtId="38" fontId="11" fillId="0" borderId="47" xfId="1" applyFont="1" applyBorder="1" applyAlignment="1" applyProtection="1">
      <alignment vertical="center"/>
    </xf>
    <xf numFmtId="38" fontId="11" fillId="0" borderId="48" xfId="1" applyFont="1" applyBorder="1" applyAlignment="1" applyProtection="1">
      <alignment vertical="center"/>
    </xf>
    <xf numFmtId="38" fontId="11" fillId="0" borderId="14" xfId="1" applyFont="1" applyBorder="1" applyAlignment="1" applyProtection="1">
      <alignment vertical="center"/>
    </xf>
    <xf numFmtId="38" fontId="11" fillId="0" borderId="26" xfId="1" applyFont="1" applyBorder="1" applyAlignment="1" applyProtection="1">
      <alignment vertical="center"/>
    </xf>
    <xf numFmtId="38" fontId="11" fillId="0" borderId="8" xfId="1" applyFont="1" applyBorder="1" applyAlignment="1" applyProtection="1">
      <alignment vertical="center"/>
    </xf>
    <xf numFmtId="38" fontId="11" fillId="0" borderId="17" xfId="1" applyFont="1" applyBorder="1" applyAlignment="1" applyProtection="1">
      <alignment vertical="center"/>
    </xf>
    <xf numFmtId="0" fontId="33" fillId="0" borderId="3" xfId="0" applyFont="1" applyFill="1" applyBorder="1" applyAlignment="1" applyProtection="1">
      <alignment horizontal="center" vertical="center"/>
    </xf>
    <xf numFmtId="0" fontId="11" fillId="0" borderId="52" xfId="0" applyFont="1" applyBorder="1" applyAlignment="1" applyProtection="1">
      <alignment horizontal="center" vertical="center"/>
    </xf>
    <xf numFmtId="38" fontId="11" fillId="0" borderId="29" xfId="1" applyFont="1" applyBorder="1" applyAlignment="1" applyProtection="1">
      <alignment vertical="center"/>
    </xf>
    <xf numFmtId="38" fontId="11" fillId="0" borderId="0" xfId="1" applyFont="1" applyBorder="1" applyAlignment="1" applyProtection="1">
      <alignment vertical="center"/>
    </xf>
    <xf numFmtId="38" fontId="11" fillId="0" borderId="16" xfId="1" applyFont="1" applyBorder="1" applyAlignment="1" applyProtection="1">
      <alignment vertical="center"/>
    </xf>
    <xf numFmtId="180" fontId="21" fillId="2" borderId="3" xfId="1" applyNumberFormat="1" applyFont="1" applyFill="1" applyBorder="1" applyAlignment="1" applyProtection="1">
      <alignment horizontal="center" vertical="center" wrapText="1"/>
    </xf>
    <xf numFmtId="38" fontId="25" fillId="0" borderId="0" xfId="0" applyNumberFormat="1"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22" xfId="0" applyFont="1" applyBorder="1" applyAlignment="1" applyProtection="1">
      <alignment horizontal="center" vertical="center"/>
    </xf>
    <xf numFmtId="0" fontId="36" fillId="0" borderId="48" xfId="0" applyFont="1" applyBorder="1" applyAlignment="1" applyProtection="1">
      <alignment horizontal="left" vertical="center" wrapText="1"/>
    </xf>
    <xf numFmtId="0" fontId="36" fillId="0" borderId="11" xfId="0"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12" xfId="0" applyFont="1" applyBorder="1" applyAlignment="1" applyProtection="1">
      <alignment horizontal="left" vertical="center" wrapText="1"/>
    </xf>
    <xf numFmtId="177" fontId="11" fillId="0" borderId="25" xfId="0" applyNumberFormat="1" applyFont="1" applyBorder="1" applyAlignment="1" applyProtection="1">
      <alignment horizontal="center" vertical="center"/>
    </xf>
    <xf numFmtId="177" fontId="11" fillId="0" borderId="3" xfId="0" applyNumberFormat="1" applyFont="1" applyBorder="1" applyAlignment="1" applyProtection="1">
      <alignment horizontal="center" vertical="center"/>
    </xf>
    <xf numFmtId="177" fontId="11" fillId="0" borderId="66" xfId="0" applyNumberFormat="1" applyFont="1" applyBorder="1" applyAlignment="1" applyProtection="1">
      <alignment horizontal="center" vertical="center"/>
    </xf>
    <xf numFmtId="177" fontId="11" fillId="0" borderId="7" xfId="0" applyNumberFormat="1" applyFont="1" applyBorder="1" applyAlignment="1" applyProtection="1">
      <alignment horizontal="center" vertical="center"/>
    </xf>
    <xf numFmtId="10" fontId="11" fillId="0" borderId="9" xfId="0" applyNumberFormat="1" applyFont="1" applyBorder="1" applyAlignment="1" applyProtection="1">
      <alignment horizontal="center" vertical="center"/>
    </xf>
    <xf numFmtId="10" fontId="11" fillId="0" borderId="10" xfId="0" applyNumberFormat="1" applyFont="1" applyBorder="1" applyAlignment="1" applyProtection="1">
      <alignment horizontal="center" vertical="center"/>
    </xf>
    <xf numFmtId="0" fontId="11" fillId="0" borderId="11" xfId="0" applyNumberFormat="1" applyFont="1" applyBorder="1" applyAlignment="1" applyProtection="1">
      <alignment horizontal="center" vertical="center" wrapText="1"/>
    </xf>
    <xf numFmtId="0" fontId="11" fillId="0" borderId="10" xfId="0" applyNumberFormat="1" applyFont="1" applyBorder="1" applyAlignment="1" applyProtection="1">
      <alignment horizontal="center" vertical="center" wrapText="1"/>
    </xf>
    <xf numFmtId="177" fontId="11" fillId="0" borderId="47" xfId="0" applyNumberFormat="1" applyFont="1" applyBorder="1" applyAlignment="1" applyProtection="1">
      <alignment horizontal="center" vertical="center"/>
    </xf>
    <xf numFmtId="177" fontId="11" fillId="0" borderId="48" xfId="0" applyNumberFormat="1" applyFont="1" applyBorder="1" applyAlignment="1" applyProtection="1">
      <alignment horizontal="center" vertical="center"/>
    </xf>
    <xf numFmtId="177" fontId="11" fillId="0" borderId="14" xfId="0" applyNumberFormat="1" applyFont="1" applyBorder="1" applyAlignment="1" applyProtection="1">
      <alignment horizontal="center" vertical="center"/>
    </xf>
    <xf numFmtId="177" fontId="11" fillId="0" borderId="21" xfId="0" applyNumberFormat="1" applyFont="1" applyBorder="1" applyAlignment="1" applyProtection="1">
      <alignment horizontal="center" vertical="center"/>
    </xf>
    <xf numFmtId="177" fontId="11" fillId="0" borderId="22" xfId="0" applyNumberFormat="1" applyFont="1" applyBorder="1" applyAlignment="1" applyProtection="1">
      <alignment horizontal="center" vertical="center"/>
    </xf>
    <xf numFmtId="177" fontId="11" fillId="0" borderId="15" xfId="0" applyNumberFormat="1" applyFont="1" applyBorder="1" applyAlignment="1" applyProtection="1">
      <alignment horizontal="center" vertical="center"/>
    </xf>
    <xf numFmtId="177" fontId="11" fillId="0" borderId="11" xfId="0" applyNumberFormat="1" applyFont="1" applyBorder="1" applyAlignment="1" applyProtection="1">
      <alignment horizontal="center" vertical="center"/>
    </xf>
    <xf numFmtId="177" fontId="11" fillId="0" borderId="12" xfId="0" applyNumberFormat="1" applyFont="1" applyBorder="1" applyAlignment="1" applyProtection="1">
      <alignment horizontal="center" vertical="center"/>
    </xf>
    <xf numFmtId="0" fontId="10" fillId="0" borderId="74" xfId="0"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12" xfId="0" applyFont="1" applyBorder="1" applyAlignment="1" applyProtection="1">
      <alignment horizontal="center" vertical="center"/>
    </xf>
    <xf numFmtId="180" fontId="11" fillId="0" borderId="28" xfId="1" applyNumberFormat="1" applyFont="1" applyBorder="1" applyAlignment="1" applyProtection="1">
      <alignment vertical="center" shrinkToFit="1"/>
    </xf>
    <xf numFmtId="180" fontId="11" fillId="0" borderId="22" xfId="1" applyNumberFormat="1" applyFont="1" applyBorder="1" applyAlignment="1" applyProtection="1">
      <alignment vertical="center" shrinkToFit="1"/>
    </xf>
    <xf numFmtId="180" fontId="11" fillId="0" borderId="15" xfId="1" applyNumberFormat="1" applyFont="1" applyBorder="1" applyAlignment="1" applyProtection="1">
      <alignment vertical="center" shrinkToFit="1"/>
    </xf>
    <xf numFmtId="180" fontId="11" fillId="0" borderId="102" xfId="1" applyNumberFormat="1" applyFont="1" applyBorder="1" applyAlignment="1" applyProtection="1">
      <alignment vertical="center" shrinkToFit="1"/>
    </xf>
    <xf numFmtId="180" fontId="11" fillId="0" borderId="103" xfId="1" applyNumberFormat="1" applyFont="1" applyBorder="1" applyAlignment="1" applyProtection="1">
      <alignment vertical="center" shrinkToFit="1"/>
    </xf>
    <xf numFmtId="180" fontId="11" fillId="0" borderId="104" xfId="1" applyNumberFormat="1" applyFont="1" applyBorder="1" applyAlignment="1" applyProtection="1">
      <alignment vertical="center" shrinkToFit="1"/>
    </xf>
    <xf numFmtId="180" fontId="11" fillId="0" borderId="21" xfId="1" applyNumberFormat="1" applyFont="1" applyBorder="1" applyAlignment="1" applyProtection="1">
      <alignment vertical="center" shrinkToFit="1"/>
    </xf>
    <xf numFmtId="180" fontId="23" fillId="0" borderId="56" xfId="0" applyNumberFormat="1" applyFont="1" applyBorder="1" applyAlignment="1" applyProtection="1">
      <alignment vertical="center"/>
    </xf>
    <xf numFmtId="0" fontId="10" fillId="0" borderId="23"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34" xfId="0" applyFont="1" applyBorder="1" applyAlignment="1" applyProtection="1">
      <alignment horizontal="center" vertical="center"/>
    </xf>
    <xf numFmtId="180" fontId="11" fillId="0" borderId="23" xfId="1" applyNumberFormat="1" applyFont="1" applyBorder="1" applyAlignment="1" applyProtection="1">
      <alignment vertical="center" shrinkToFit="1"/>
    </xf>
    <xf numFmtId="180" fontId="11" fillId="0" borderId="24" xfId="1" applyNumberFormat="1" applyFont="1" applyBorder="1" applyAlignment="1" applyProtection="1">
      <alignment vertical="center" shrinkToFit="1"/>
    </xf>
    <xf numFmtId="180" fontId="11" fillId="0" borderId="30" xfId="1" applyNumberFormat="1" applyFont="1" applyBorder="1" applyAlignment="1" applyProtection="1">
      <alignment vertical="center" shrinkToFit="1"/>
    </xf>
    <xf numFmtId="180" fontId="11" fillId="0" borderId="31" xfId="1" applyNumberFormat="1" applyFont="1" applyBorder="1" applyAlignment="1" applyProtection="1">
      <alignment vertical="center" shrinkToFit="1"/>
    </xf>
    <xf numFmtId="180" fontId="11" fillId="0" borderId="32" xfId="1" applyNumberFormat="1" applyFont="1" applyBorder="1" applyAlignment="1" applyProtection="1">
      <alignment vertical="center" shrinkToFit="1"/>
    </xf>
    <xf numFmtId="0" fontId="2" fillId="0" borderId="66" xfId="0" applyFont="1" applyBorder="1" applyAlignment="1" applyProtection="1">
      <alignment horizontal="center" vertical="center"/>
    </xf>
    <xf numFmtId="0" fontId="2" fillId="0" borderId="61" xfId="0" applyFont="1" applyBorder="1" applyAlignment="1" applyProtection="1">
      <alignment horizontal="center"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center" vertical="center" wrapText="1"/>
    </xf>
    <xf numFmtId="181" fontId="11" fillId="0" borderId="11" xfId="1" applyNumberFormat="1" applyFont="1" applyBorder="1" applyAlignment="1" applyProtection="1">
      <alignment horizontal="center" vertical="center"/>
    </xf>
    <xf numFmtId="181" fontId="11" fillId="0" borderId="10" xfId="1" applyNumberFormat="1" applyFont="1" applyBorder="1" applyAlignment="1" applyProtection="1">
      <alignment horizontal="center" vertical="center"/>
    </xf>
    <xf numFmtId="0" fontId="5" fillId="0" borderId="0" xfId="0" applyFont="1" applyAlignment="1" applyProtection="1">
      <alignment horizontal="left" vertical="top" shrinkToFit="1"/>
    </xf>
    <xf numFmtId="0" fontId="2" fillId="0" borderId="0" xfId="0" applyFont="1" applyAlignment="1" applyProtection="1">
      <alignment horizontal="center" vertical="center"/>
    </xf>
    <xf numFmtId="0" fontId="12" fillId="2" borderId="21"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shrinkToFit="1"/>
      <protection locked="0"/>
    </xf>
    <xf numFmtId="0" fontId="5" fillId="0" borderId="56" xfId="0" applyFont="1" applyBorder="1" applyProtection="1">
      <alignment vertical="center"/>
    </xf>
    <xf numFmtId="38" fontId="12" fillId="2" borderId="21" xfId="1" applyFont="1" applyFill="1" applyBorder="1" applyAlignment="1" applyProtection="1">
      <alignment horizontal="center" vertical="center" shrinkToFit="1"/>
      <protection locked="0"/>
    </xf>
    <xf numFmtId="38" fontId="12" fillId="2" borderId="22" xfId="1"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shrinkToFit="1"/>
      <protection locked="0"/>
    </xf>
    <xf numFmtId="0" fontId="2" fillId="3" borderId="22" xfId="0" applyFont="1" applyFill="1" applyBorder="1" applyAlignment="1" applyProtection="1">
      <alignment horizontal="center" vertical="center" shrinkToFit="1"/>
      <protection locked="0"/>
    </xf>
    <xf numFmtId="38" fontId="13" fillId="4" borderId="21" xfId="1" applyFont="1" applyFill="1" applyBorder="1" applyAlignment="1" applyProtection="1">
      <alignment horizontal="center" vertical="center" shrinkToFit="1"/>
    </xf>
    <xf numFmtId="0" fontId="5" fillId="0" borderId="0" xfId="0" applyFont="1" applyAlignment="1" applyProtection="1">
      <alignment horizontal="right" vertical="center"/>
    </xf>
    <xf numFmtId="0" fontId="20" fillId="0" borderId="27" xfId="0" applyFont="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9" xfId="0" applyFont="1" applyBorder="1" applyAlignment="1" applyProtection="1">
      <alignment horizontal="center" vertical="center"/>
    </xf>
    <xf numFmtId="0" fontId="20" fillId="0" borderId="28" xfId="0" applyFont="1" applyBorder="1" applyAlignment="1" applyProtection="1">
      <alignment horizontal="center" vertical="center"/>
    </xf>
    <xf numFmtId="0" fontId="20" fillId="0" borderId="22" xfId="0" applyFont="1" applyBorder="1" applyAlignment="1" applyProtection="1">
      <alignment horizontal="center" vertical="center"/>
    </xf>
    <xf numFmtId="0" fontId="20" fillId="0" borderId="12" xfId="0" applyFont="1" applyBorder="1" applyAlignment="1" applyProtection="1">
      <alignment horizontal="center" vertical="center"/>
    </xf>
    <xf numFmtId="38" fontId="11" fillId="0" borderId="67" xfId="1" applyFont="1" applyBorder="1" applyAlignment="1" applyProtection="1">
      <alignment vertical="center"/>
    </xf>
    <xf numFmtId="38" fontId="11" fillId="0" borderId="39" xfId="1" applyFont="1" applyBorder="1" applyAlignment="1" applyProtection="1">
      <alignment vertical="center"/>
    </xf>
    <xf numFmtId="38" fontId="11" fillId="0" borderId="68" xfId="1" applyFont="1" applyBorder="1" applyAlignment="1" applyProtection="1">
      <alignment vertical="center"/>
    </xf>
    <xf numFmtId="38" fontId="11" fillId="0" borderId="69" xfId="1" applyFont="1" applyBorder="1" applyAlignment="1" applyProtection="1">
      <alignment vertical="center"/>
    </xf>
    <xf numFmtId="38" fontId="11" fillId="0" borderId="56" xfId="1" applyFont="1" applyBorder="1" applyAlignment="1" applyProtection="1">
      <alignment vertical="center"/>
    </xf>
    <xf numFmtId="38" fontId="11" fillId="0" borderId="70" xfId="1" applyFont="1" applyBorder="1" applyAlignment="1" applyProtection="1">
      <alignment vertical="center"/>
    </xf>
    <xf numFmtId="0" fontId="37" fillId="0" borderId="92" xfId="0" applyFont="1" applyBorder="1" applyAlignment="1" applyProtection="1">
      <alignment horizontal="center" vertical="center"/>
    </xf>
    <xf numFmtId="38" fontId="38" fillId="0" borderId="92" xfId="1" applyFont="1" applyBorder="1" applyAlignment="1" applyProtection="1">
      <alignment horizontal="center" vertical="center"/>
    </xf>
    <xf numFmtId="0" fontId="2" fillId="0" borderId="0" xfId="0" applyFont="1" applyFill="1" applyBorder="1" applyAlignment="1" applyProtection="1">
      <alignment horizontal="center" vertical="center"/>
    </xf>
    <xf numFmtId="38" fontId="2" fillId="0" borderId="2" xfId="1" applyFont="1" applyBorder="1" applyAlignment="1" applyProtection="1">
      <alignment horizontal="right" vertical="center" shrinkToFit="1"/>
    </xf>
    <xf numFmtId="0" fontId="2" fillId="0" borderId="30" xfId="0" applyFont="1" applyBorder="1" applyAlignment="1" applyProtection="1">
      <alignment horizontal="center" vertical="center"/>
    </xf>
    <xf numFmtId="0" fontId="2" fillId="0" borderId="30" xfId="0" applyFont="1" applyBorder="1" applyAlignment="1" applyProtection="1">
      <alignment horizontal="right" vertical="center"/>
    </xf>
    <xf numFmtId="0" fontId="2" fillId="0" borderId="31" xfId="0" applyFont="1" applyBorder="1" applyAlignment="1" applyProtection="1">
      <alignment horizontal="right" vertical="center"/>
    </xf>
    <xf numFmtId="0" fontId="2" fillId="0" borderId="32" xfId="0" applyFont="1" applyBorder="1" applyAlignment="1" applyProtection="1">
      <alignment horizontal="right" vertical="center"/>
    </xf>
    <xf numFmtId="38" fontId="2" fillId="0" borderId="36" xfId="1" applyFont="1" applyBorder="1" applyAlignment="1" applyProtection="1">
      <alignment horizontal="right" vertical="center" shrinkToFit="1"/>
    </xf>
    <xf numFmtId="38" fontId="2" fillId="0" borderId="4" xfId="1" applyFont="1" applyBorder="1" applyAlignment="1" applyProtection="1">
      <alignment horizontal="right" vertical="center" shrinkToFit="1"/>
    </xf>
    <xf numFmtId="0" fontId="2" fillId="0" borderId="36"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90"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87" xfId="0" applyFont="1" applyBorder="1" applyAlignment="1" applyProtection="1">
      <alignment horizontal="center" vertical="center"/>
    </xf>
    <xf numFmtId="176" fontId="2" fillId="0" borderId="47" xfId="0" applyNumberFormat="1" applyFont="1" applyBorder="1" applyAlignment="1" applyProtection="1">
      <alignment horizontal="center" vertical="center"/>
    </xf>
    <xf numFmtId="176" fontId="2" fillId="0" borderId="14" xfId="0" applyNumberFormat="1" applyFont="1" applyBorder="1" applyAlignment="1" applyProtection="1">
      <alignment horizontal="center" vertical="center"/>
    </xf>
    <xf numFmtId="0" fontId="2" fillId="0" borderId="53" xfId="0" applyFont="1" applyBorder="1" applyProtection="1">
      <alignment vertical="center"/>
    </xf>
    <xf numFmtId="0" fontId="2" fillId="0" borderId="6" xfId="0" applyFont="1" applyBorder="1" applyProtection="1">
      <alignment vertical="center"/>
    </xf>
    <xf numFmtId="0" fontId="2" fillId="0" borderId="89" xfId="0" applyFont="1" applyBorder="1" applyProtection="1">
      <alignment vertical="center"/>
    </xf>
    <xf numFmtId="38" fontId="13" fillId="3" borderId="51" xfId="1" applyFont="1" applyFill="1" applyBorder="1" applyAlignment="1" applyProtection="1">
      <alignment horizontal="center" vertical="center" shrinkToFit="1"/>
    </xf>
    <xf numFmtId="38" fontId="13" fillId="3" borderId="48" xfId="1" applyFont="1" applyFill="1" applyBorder="1" applyAlignment="1" applyProtection="1">
      <alignment horizontal="center" vertical="center" shrinkToFit="1"/>
    </xf>
    <xf numFmtId="38" fontId="13" fillId="3" borderId="38" xfId="1" applyFont="1" applyFill="1" applyBorder="1" applyAlignment="1" applyProtection="1">
      <alignment horizontal="center" vertical="center" shrinkToFit="1"/>
    </xf>
    <xf numFmtId="38" fontId="13" fillId="3" borderId="8" xfId="1" applyFont="1" applyFill="1" applyBorder="1" applyAlignment="1" applyProtection="1">
      <alignment horizontal="center" vertical="center" shrinkToFit="1"/>
    </xf>
    <xf numFmtId="38" fontId="2" fillId="0" borderId="48" xfId="1" applyFont="1" applyBorder="1" applyAlignment="1" applyProtection="1">
      <alignment horizontal="right" vertical="center" shrinkToFit="1"/>
    </xf>
    <xf numFmtId="38" fontId="2" fillId="0" borderId="14" xfId="1" applyFont="1" applyBorder="1" applyAlignment="1" applyProtection="1">
      <alignment horizontal="right" vertical="center" shrinkToFit="1"/>
    </xf>
    <xf numFmtId="0" fontId="2" fillId="3" borderId="19" xfId="0" applyFont="1" applyFill="1" applyBorder="1" applyAlignment="1" applyProtection="1">
      <alignment horizontal="center" vertical="center"/>
    </xf>
    <xf numFmtId="0" fontId="2" fillId="3" borderId="20"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7" xfId="0" applyFont="1" applyFill="1" applyBorder="1" applyAlignment="1" applyProtection="1">
      <alignment horizontal="center" vertical="center"/>
    </xf>
    <xf numFmtId="0" fontId="2" fillId="3" borderId="48" xfId="0" applyFont="1" applyFill="1" applyBorder="1" applyAlignment="1" applyProtection="1">
      <alignment horizontal="center" vertical="center"/>
    </xf>
    <xf numFmtId="0" fontId="2" fillId="3" borderId="21" xfId="0" applyFont="1" applyFill="1" applyBorder="1" applyAlignment="1" applyProtection="1">
      <alignment horizontal="center" vertical="center"/>
    </xf>
    <xf numFmtId="0" fontId="2" fillId="3" borderId="22" xfId="0" applyFont="1" applyFill="1" applyBorder="1" applyAlignment="1" applyProtection="1">
      <alignment horizontal="center" vertical="center"/>
    </xf>
    <xf numFmtId="38" fontId="13" fillId="3" borderId="46" xfId="1" applyFont="1" applyFill="1" applyBorder="1" applyAlignment="1" applyProtection="1">
      <alignment horizontal="center" vertical="center" shrinkToFit="1"/>
    </xf>
    <xf numFmtId="38" fontId="13" fillId="3" borderId="0" xfId="1" applyFont="1" applyFill="1" applyBorder="1" applyAlignment="1" applyProtection="1">
      <alignment horizontal="center" vertical="center" shrinkToFit="1"/>
    </xf>
    <xf numFmtId="38" fontId="13" fillId="3" borderId="28" xfId="1" applyFont="1" applyFill="1" applyBorder="1" applyAlignment="1" applyProtection="1">
      <alignment horizontal="center" vertical="center" shrinkToFit="1"/>
    </xf>
    <xf numFmtId="38" fontId="13" fillId="3" borderId="22" xfId="1" applyFont="1" applyFill="1" applyBorder="1" applyAlignment="1" applyProtection="1">
      <alignment horizontal="center" vertical="center" shrinkToFit="1"/>
    </xf>
    <xf numFmtId="38" fontId="13" fillId="3" borderId="27" xfId="1" applyFont="1" applyFill="1" applyBorder="1" applyAlignment="1" applyProtection="1">
      <alignment horizontal="center" vertical="center" shrinkToFit="1"/>
    </xf>
    <xf numFmtId="38" fontId="13" fillId="3" borderId="20" xfId="1" applyFont="1" applyFill="1" applyBorder="1" applyAlignment="1" applyProtection="1">
      <alignment horizontal="center" vertical="center" shrinkToFit="1"/>
    </xf>
    <xf numFmtId="38" fontId="11" fillId="0" borderId="21" xfId="1" applyFont="1" applyBorder="1" applyProtection="1">
      <alignment vertical="center"/>
    </xf>
    <xf numFmtId="38" fontId="11" fillId="0" borderId="22" xfId="1" applyFont="1" applyBorder="1" applyProtection="1">
      <alignment vertical="center"/>
    </xf>
    <xf numFmtId="0" fontId="2" fillId="0" borderId="27" xfId="0" applyFont="1" applyBorder="1" applyProtection="1">
      <alignment vertical="center"/>
    </xf>
    <xf numFmtId="0" fontId="2" fillId="0" borderId="20" xfId="0" applyFont="1" applyBorder="1" applyProtection="1">
      <alignment vertical="center"/>
    </xf>
    <xf numFmtId="0" fontId="2" fillId="0" borderId="9" xfId="0" applyFont="1" applyBorder="1" applyProtection="1">
      <alignment vertical="center"/>
    </xf>
    <xf numFmtId="0" fontId="2" fillId="0" borderId="28" xfId="0" applyFont="1" applyBorder="1" applyProtection="1">
      <alignment vertical="center"/>
    </xf>
    <xf numFmtId="0" fontId="2" fillId="0" borderId="22" xfId="0" applyFont="1" applyBorder="1" applyProtection="1">
      <alignment vertical="center"/>
    </xf>
    <xf numFmtId="0" fontId="2" fillId="0" borderId="12" xfId="0" applyFont="1" applyBorder="1" applyProtection="1">
      <alignment vertical="center"/>
    </xf>
    <xf numFmtId="179" fontId="21" fillId="2" borderId="3" xfId="0" applyNumberFormat="1" applyFont="1" applyFill="1" applyBorder="1" applyAlignment="1" applyProtection="1">
      <alignment horizontal="center" vertical="center"/>
    </xf>
    <xf numFmtId="0" fontId="2" fillId="0" borderId="63" xfId="0" applyFont="1" applyBorder="1" applyAlignment="1" applyProtection="1">
      <alignment horizontal="center" vertical="center"/>
    </xf>
    <xf numFmtId="0" fontId="10" fillId="0" borderId="40" xfId="0" applyFont="1" applyBorder="1" applyAlignment="1" applyProtection="1">
      <alignment vertical="center" wrapText="1"/>
    </xf>
    <xf numFmtId="0" fontId="10" fillId="0" borderId="3" xfId="0" applyFont="1" applyBorder="1" applyAlignment="1" applyProtection="1">
      <alignment vertical="center" wrapText="1"/>
    </xf>
    <xf numFmtId="0" fontId="5" fillId="0" borderId="55" xfId="0" applyFont="1" applyBorder="1" applyAlignment="1" applyProtection="1">
      <alignment horizontal="center" vertical="center"/>
    </xf>
    <xf numFmtId="0" fontId="10" fillId="0" borderId="40" xfId="0" applyFont="1" applyBorder="1" applyAlignment="1" applyProtection="1">
      <alignment vertical="center"/>
    </xf>
    <xf numFmtId="0" fontId="10" fillId="0" borderId="65" xfId="0" applyFont="1" applyBorder="1" applyAlignment="1" applyProtection="1">
      <alignment vertical="center"/>
    </xf>
    <xf numFmtId="0" fontId="10" fillId="0" borderId="3" xfId="0" applyFont="1" applyBorder="1" applyAlignment="1" applyProtection="1">
      <alignment vertical="center"/>
    </xf>
    <xf numFmtId="0" fontId="10" fillId="0" borderId="35" xfId="0" applyFont="1" applyBorder="1" applyAlignment="1" applyProtection="1">
      <alignment vertical="center"/>
    </xf>
    <xf numFmtId="10" fontId="11" fillId="0" borderId="40" xfId="0" applyNumberFormat="1" applyFont="1" applyBorder="1" applyAlignment="1" applyProtection="1">
      <alignment horizontal="center" vertical="center"/>
    </xf>
    <xf numFmtId="10" fontId="11" fillId="0" borderId="2" xfId="0" applyNumberFormat="1" applyFont="1" applyBorder="1" applyAlignment="1" applyProtection="1">
      <alignment horizontal="center" vertical="center"/>
    </xf>
    <xf numFmtId="10" fontId="11" fillId="0" borderId="3" xfId="0" applyNumberFormat="1" applyFont="1" applyBorder="1" applyAlignment="1" applyProtection="1">
      <alignment horizontal="center" vertical="center"/>
    </xf>
    <xf numFmtId="10" fontId="11" fillId="0" borderId="65" xfId="0" applyNumberFormat="1" applyFont="1" applyBorder="1" applyAlignment="1" applyProtection="1">
      <alignment horizontal="center" vertical="center"/>
    </xf>
    <xf numFmtId="10" fontId="11" fillId="0" borderId="35" xfId="0" applyNumberFormat="1" applyFont="1" applyBorder="1" applyAlignment="1" applyProtection="1">
      <alignment horizontal="center" vertical="center"/>
    </xf>
    <xf numFmtId="0" fontId="14" fillId="0" borderId="2" xfId="0" applyFont="1" applyBorder="1" applyAlignment="1" applyProtection="1">
      <alignment vertical="center" wrapText="1"/>
    </xf>
    <xf numFmtId="0" fontId="14" fillId="0" borderId="3" xfId="0" applyFont="1" applyBorder="1" applyAlignment="1" applyProtection="1">
      <alignment vertical="center" wrapText="1"/>
    </xf>
    <xf numFmtId="0" fontId="14" fillId="0" borderId="35" xfId="0" applyFont="1" applyBorder="1" applyAlignment="1" applyProtection="1">
      <alignment vertical="center" wrapText="1"/>
    </xf>
    <xf numFmtId="0" fontId="14" fillId="0" borderId="64" xfId="0" applyFont="1" applyBorder="1" applyAlignment="1" applyProtection="1">
      <alignment vertical="center" wrapText="1"/>
    </xf>
    <xf numFmtId="0" fontId="14" fillId="0" borderId="7" xfId="0" applyFont="1" applyBorder="1" applyAlignment="1" applyProtection="1">
      <alignment vertical="center" wrapText="1"/>
    </xf>
    <xf numFmtId="0" fontId="14" fillId="0" borderId="55" xfId="0" applyFont="1" applyBorder="1" applyAlignment="1" applyProtection="1">
      <alignment vertical="center" wrapText="1"/>
    </xf>
    <xf numFmtId="177" fontId="11" fillId="0" borderId="2" xfId="0" applyNumberFormat="1" applyFont="1" applyBorder="1" applyAlignment="1" applyProtection="1">
      <alignment horizontal="center" vertical="center"/>
    </xf>
    <xf numFmtId="177" fontId="11" fillId="0" borderId="64" xfId="0" applyNumberFormat="1" applyFont="1" applyBorder="1" applyAlignment="1" applyProtection="1">
      <alignment horizontal="center" vertical="center"/>
    </xf>
    <xf numFmtId="177" fontId="11" fillId="0" borderId="35" xfId="0" applyNumberFormat="1" applyFont="1" applyBorder="1" applyAlignment="1" applyProtection="1">
      <alignment horizontal="center" vertical="center"/>
    </xf>
    <xf numFmtId="177" fontId="11" fillId="0" borderId="55" xfId="0" applyNumberFormat="1" applyFont="1" applyBorder="1" applyAlignment="1" applyProtection="1">
      <alignment horizontal="center" vertical="center"/>
    </xf>
    <xf numFmtId="180" fontId="23" fillId="0" borderId="25" xfId="0" applyNumberFormat="1" applyFont="1" applyBorder="1" applyAlignment="1" applyProtection="1">
      <alignment vertical="center"/>
    </xf>
    <xf numFmtId="0" fontId="10" fillId="0" borderId="3" xfId="0" applyFont="1" applyBorder="1" applyAlignment="1" applyProtection="1">
      <alignment horizontal="center" vertical="center" wrapText="1"/>
    </xf>
    <xf numFmtId="0" fontId="11" fillId="0" borderId="2" xfId="0" applyNumberFormat="1" applyFont="1" applyBorder="1" applyAlignment="1" applyProtection="1">
      <alignment horizontal="center" vertical="center" wrapText="1"/>
    </xf>
    <xf numFmtId="0" fontId="11" fillId="0" borderId="3" xfId="0" applyNumberFormat="1" applyFont="1" applyBorder="1" applyAlignment="1" applyProtection="1">
      <alignment horizontal="center" vertical="center" wrapText="1"/>
    </xf>
    <xf numFmtId="0" fontId="11" fillId="0" borderId="35" xfId="0" applyNumberFormat="1" applyFont="1" applyBorder="1" applyAlignment="1" applyProtection="1">
      <alignment horizontal="center" vertical="center" wrapText="1"/>
    </xf>
    <xf numFmtId="181" fontId="11" fillId="0" borderId="2" xfId="1" applyNumberFormat="1" applyFont="1" applyBorder="1" applyAlignment="1" applyProtection="1">
      <alignment horizontal="center" vertical="center"/>
    </xf>
    <xf numFmtId="181" fontId="11" fillId="0" borderId="3" xfId="1" applyNumberFormat="1" applyFont="1" applyBorder="1" applyAlignment="1" applyProtection="1">
      <alignment horizontal="center" vertical="center"/>
    </xf>
    <xf numFmtId="181" fontId="11" fillId="0" borderId="35" xfId="1" applyNumberFormat="1" applyFont="1" applyBorder="1" applyAlignment="1" applyProtection="1">
      <alignment horizontal="center" vertical="center"/>
    </xf>
    <xf numFmtId="0" fontId="10" fillId="0" borderId="63"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65" xfId="0" applyFont="1" applyBorder="1" applyAlignment="1" applyProtection="1">
      <alignment horizontal="center" vertical="center"/>
    </xf>
    <xf numFmtId="180" fontId="23" fillId="0" borderId="78" xfId="0" applyNumberFormat="1" applyFont="1" applyBorder="1" applyAlignment="1" applyProtection="1">
      <alignment vertical="center"/>
    </xf>
    <xf numFmtId="180" fontId="23" fillId="0" borderId="23" xfId="0" applyNumberFormat="1" applyFont="1" applyBorder="1" applyAlignment="1" applyProtection="1">
      <alignment vertical="center"/>
    </xf>
    <xf numFmtId="0" fontId="10" fillId="0" borderId="0" xfId="0" applyFont="1" applyBorder="1" applyAlignment="1" applyProtection="1">
      <alignment horizontal="center" vertical="center"/>
    </xf>
    <xf numFmtId="0" fontId="10" fillId="0" borderId="13" xfId="0" applyFont="1" applyBorder="1" applyAlignment="1" applyProtection="1">
      <alignment horizontal="center" vertical="center"/>
    </xf>
    <xf numFmtId="180" fontId="11" fillId="0" borderId="46" xfId="1" applyNumberFormat="1" applyFont="1" applyBorder="1" applyAlignment="1" applyProtection="1">
      <alignment vertical="center" shrinkToFit="1"/>
    </xf>
    <xf numFmtId="180" fontId="11" fillId="0" borderId="0" xfId="1" applyNumberFormat="1" applyFont="1" applyBorder="1" applyAlignment="1" applyProtection="1">
      <alignment vertical="center" shrinkToFit="1"/>
    </xf>
    <xf numFmtId="180" fontId="11" fillId="0" borderId="16" xfId="1" applyNumberFormat="1" applyFont="1" applyBorder="1" applyAlignment="1" applyProtection="1">
      <alignment vertical="center" shrinkToFit="1"/>
    </xf>
    <xf numFmtId="180" fontId="11" fillId="0" borderId="84" xfId="1" applyNumberFormat="1" applyFont="1" applyBorder="1" applyAlignment="1" applyProtection="1">
      <alignment vertical="center" shrinkToFit="1"/>
    </xf>
    <xf numFmtId="180" fontId="11" fillId="0" borderId="85" xfId="1" applyNumberFormat="1" applyFont="1" applyBorder="1" applyAlignment="1" applyProtection="1">
      <alignment vertical="center" shrinkToFit="1"/>
    </xf>
    <xf numFmtId="180" fontId="11" fillId="0" borderId="86" xfId="1" applyNumberFormat="1" applyFont="1" applyBorder="1" applyAlignment="1" applyProtection="1">
      <alignment vertical="center" shrinkToFit="1"/>
    </xf>
    <xf numFmtId="180" fontId="11" fillId="0" borderId="29" xfId="1" applyNumberFormat="1" applyFont="1" applyBorder="1" applyAlignment="1" applyProtection="1">
      <alignment vertical="center" shrinkToFit="1"/>
    </xf>
    <xf numFmtId="180" fontId="23" fillId="0" borderId="69" xfId="0" applyNumberFormat="1" applyFont="1" applyBorder="1" applyAlignment="1" applyProtection="1">
      <alignment vertical="center"/>
    </xf>
    <xf numFmtId="180" fontId="20" fillId="0" borderId="27" xfId="0" applyNumberFormat="1" applyFont="1" applyBorder="1" applyAlignment="1" applyProtection="1">
      <alignment vertical="center" shrinkToFit="1"/>
    </xf>
    <xf numFmtId="180" fontId="20" fillId="0" borderId="20" xfId="0" applyNumberFormat="1" applyFont="1" applyBorder="1" applyAlignment="1" applyProtection="1">
      <alignment vertical="center" shrinkToFit="1"/>
    </xf>
    <xf numFmtId="180" fontId="20" fillId="0" borderId="18" xfId="0" applyNumberFormat="1" applyFont="1" applyBorder="1" applyAlignment="1" applyProtection="1">
      <alignment vertical="center" shrinkToFit="1"/>
    </xf>
    <xf numFmtId="180" fontId="20" fillId="0" borderId="46" xfId="0" applyNumberFormat="1" applyFont="1" applyBorder="1" applyAlignment="1" applyProtection="1">
      <alignment vertical="center" shrinkToFit="1"/>
    </xf>
    <xf numFmtId="180" fontId="20" fillId="0" borderId="0" xfId="0" applyNumberFormat="1" applyFont="1" applyBorder="1" applyAlignment="1" applyProtection="1">
      <alignment vertical="center" shrinkToFit="1"/>
    </xf>
    <xf numFmtId="180" fontId="20" fillId="0" borderId="16" xfId="0" applyNumberFormat="1" applyFont="1" applyBorder="1" applyAlignment="1" applyProtection="1">
      <alignment vertical="center" shrinkToFit="1"/>
    </xf>
    <xf numFmtId="180" fontId="20" fillId="0" borderId="28" xfId="0" applyNumberFormat="1" applyFont="1" applyBorder="1" applyAlignment="1" applyProtection="1">
      <alignment vertical="center" shrinkToFit="1"/>
    </xf>
    <xf numFmtId="180" fontId="20" fillId="0" borderId="22" xfId="0" applyNumberFormat="1" applyFont="1" applyBorder="1" applyAlignment="1" applyProtection="1">
      <alignment vertical="center" shrinkToFit="1"/>
    </xf>
    <xf numFmtId="180" fontId="20" fillId="0" borderId="15" xfId="0" applyNumberFormat="1" applyFont="1" applyBorder="1" applyAlignment="1" applyProtection="1">
      <alignment vertical="center" shrinkToFit="1"/>
    </xf>
    <xf numFmtId="180" fontId="20" fillId="0" borderId="19" xfId="0" applyNumberFormat="1" applyFont="1" applyBorder="1" applyAlignment="1" applyProtection="1">
      <alignment vertical="center" shrinkToFit="1"/>
    </xf>
    <xf numFmtId="180" fontId="20" fillId="0" borderId="29" xfId="0" applyNumberFormat="1" applyFont="1" applyBorder="1" applyAlignment="1" applyProtection="1">
      <alignment vertical="center" shrinkToFit="1"/>
    </xf>
    <xf numFmtId="180" fontId="20" fillId="0" borderId="21" xfId="0" applyNumberFormat="1" applyFont="1" applyBorder="1" applyAlignment="1" applyProtection="1">
      <alignment vertical="center" shrinkToFit="1"/>
    </xf>
    <xf numFmtId="180" fontId="13" fillId="0" borderId="63" xfId="0" applyNumberFormat="1" applyFont="1" applyBorder="1" applyAlignment="1" applyProtection="1">
      <alignment vertical="center"/>
    </xf>
    <xf numFmtId="180" fontId="13" fillId="0" borderId="40" xfId="0" applyNumberFormat="1" applyFont="1" applyBorder="1" applyAlignment="1" applyProtection="1">
      <alignment vertical="center"/>
    </xf>
    <xf numFmtId="180" fontId="13" fillId="0" borderId="65" xfId="0" applyNumberFormat="1" applyFont="1" applyBorder="1" applyAlignment="1" applyProtection="1">
      <alignment vertical="center"/>
    </xf>
    <xf numFmtId="180" fontId="13" fillId="0" borderId="25" xfId="0" applyNumberFormat="1" applyFont="1" applyBorder="1" applyAlignment="1" applyProtection="1">
      <alignment vertical="center"/>
    </xf>
    <xf numFmtId="180" fontId="13" fillId="0" borderId="3" xfId="0" applyNumberFormat="1" applyFont="1" applyBorder="1" applyAlignment="1" applyProtection="1">
      <alignment vertical="center"/>
    </xf>
    <xf numFmtId="180" fontId="13" fillId="0" borderId="35" xfId="0" applyNumberFormat="1" applyFont="1" applyBorder="1" applyAlignment="1" applyProtection="1">
      <alignment vertical="center"/>
    </xf>
    <xf numFmtId="180" fontId="13" fillId="0" borderId="66" xfId="0" applyNumberFormat="1" applyFont="1" applyBorder="1" applyAlignment="1" applyProtection="1">
      <alignment vertical="center"/>
    </xf>
    <xf numFmtId="180" fontId="13" fillId="0" borderId="7" xfId="0" applyNumberFormat="1" applyFont="1" applyBorder="1" applyAlignment="1" applyProtection="1">
      <alignment vertical="center"/>
    </xf>
    <xf numFmtId="180" fontId="13" fillId="0" borderId="55" xfId="0" applyNumberFormat="1" applyFont="1" applyBorder="1" applyAlignment="1" applyProtection="1">
      <alignment vertical="center"/>
    </xf>
    <xf numFmtId="0" fontId="28" fillId="0" borderId="0" xfId="0" applyFont="1" applyAlignment="1" applyProtection="1">
      <alignment horizontal="left" vertical="top" wrapText="1"/>
    </xf>
    <xf numFmtId="0" fontId="5" fillId="0" borderId="67"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0" xfId="0" applyFont="1" applyAlignment="1" applyProtection="1">
      <alignment horizontal="center" vertical="center"/>
    </xf>
    <xf numFmtId="0" fontId="2" fillId="0" borderId="96" xfId="0" applyFont="1" applyBorder="1" applyAlignment="1" applyProtection="1">
      <alignment horizontal="center" vertical="center"/>
    </xf>
    <xf numFmtId="0" fontId="2" fillId="0" borderId="50" xfId="0" applyFont="1" applyBorder="1" applyAlignment="1" applyProtection="1">
      <alignment horizontal="center" vertical="center"/>
    </xf>
    <xf numFmtId="0" fontId="2" fillId="0" borderId="97" xfId="0" applyFont="1" applyBorder="1" applyAlignment="1" applyProtection="1">
      <alignment horizontal="center" vertical="center"/>
    </xf>
    <xf numFmtId="0" fontId="2" fillId="0" borderId="54" xfId="0" applyFont="1" applyBorder="1" applyAlignment="1" applyProtection="1">
      <alignment horizontal="center" vertical="center"/>
    </xf>
    <xf numFmtId="38" fontId="11" fillId="0" borderId="55" xfId="1" applyFont="1" applyBorder="1" applyProtection="1">
      <alignment vertical="center"/>
    </xf>
    <xf numFmtId="178" fontId="2" fillId="0" borderId="19" xfId="0" applyNumberFormat="1" applyFont="1" applyBorder="1" applyAlignment="1" applyProtection="1">
      <alignment horizontal="center" vertical="center"/>
    </xf>
    <xf numFmtId="178" fontId="2" fillId="0" borderId="18" xfId="0" applyNumberFormat="1" applyFont="1" applyBorder="1" applyAlignment="1" applyProtection="1">
      <alignment horizontal="center" vertical="center"/>
    </xf>
    <xf numFmtId="0" fontId="5" fillId="0" borderId="0" xfId="0" applyFont="1" applyAlignment="1" applyProtection="1">
      <alignment horizontal="center" vertical="center" shrinkToFit="1"/>
    </xf>
    <xf numFmtId="38" fontId="13" fillId="3" borderId="19" xfId="1" applyFont="1" applyFill="1" applyBorder="1" applyAlignment="1" applyProtection="1">
      <alignment horizontal="center" vertical="center" shrinkToFit="1"/>
    </xf>
    <xf numFmtId="38" fontId="13" fillId="3" borderId="29" xfId="1" applyFont="1" applyFill="1" applyBorder="1" applyAlignment="1" applyProtection="1">
      <alignment horizontal="center" vertical="center" shrinkToFit="1"/>
    </xf>
    <xf numFmtId="38" fontId="13" fillId="3" borderId="47" xfId="1" applyFont="1" applyFill="1" applyBorder="1" applyAlignment="1" applyProtection="1">
      <alignment horizontal="center" vertical="center" shrinkToFit="1"/>
    </xf>
    <xf numFmtId="38" fontId="13" fillId="3" borderId="26" xfId="1" applyFont="1" applyFill="1" applyBorder="1" applyAlignment="1" applyProtection="1">
      <alignment horizontal="center" vertical="center" shrinkToFit="1"/>
    </xf>
    <xf numFmtId="0" fontId="5" fillId="0" borderId="99" xfId="0" applyFont="1" applyBorder="1" applyProtection="1">
      <alignment vertical="center"/>
    </xf>
    <xf numFmtId="38" fontId="13" fillId="3" borderId="21" xfId="1" applyFont="1" applyFill="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240282</xdr:colOff>
      <xdr:row>41</xdr:row>
      <xdr:rowOff>90937</xdr:rowOff>
    </xdr:from>
    <xdr:to>
      <xdr:col>14</xdr:col>
      <xdr:colOff>242619</xdr:colOff>
      <xdr:row>42</xdr:row>
      <xdr:rowOff>290962</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066980" y="9364333"/>
          <a:ext cx="3192314" cy="460615"/>
        </a:xfrm>
        <a:prstGeom prst="bracketPair">
          <a:avLst>
            <a:gd name="adj" fmla="val 6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233632</xdr:colOff>
      <xdr:row>36</xdr:row>
      <xdr:rowOff>251604</xdr:rowOff>
    </xdr:from>
    <xdr:to>
      <xdr:col>23</xdr:col>
      <xdr:colOff>467265</xdr:colOff>
      <xdr:row>37</xdr:row>
      <xdr:rowOff>233633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78797" y="8545543"/>
          <a:ext cx="512194" cy="242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２</a:t>
          </a:r>
          <a:endParaRPr kumimoji="1" lang="en-US" altLang="ja-JP" sz="1050"/>
        </a:p>
      </xdr:txBody>
    </xdr:sp>
    <xdr:clientData/>
  </xdr:twoCellAnchor>
  <xdr:twoCellAnchor>
    <xdr:from>
      <xdr:col>28</xdr:col>
      <xdr:colOff>206315</xdr:colOff>
      <xdr:row>34</xdr:row>
      <xdr:rowOff>62544</xdr:rowOff>
    </xdr:from>
    <xdr:to>
      <xdr:col>30</xdr:col>
      <xdr:colOff>197688</xdr:colOff>
      <xdr:row>34</xdr:row>
      <xdr:rowOff>305162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82282" y="7718487"/>
          <a:ext cx="548496" cy="242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１</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41</xdr:row>
      <xdr:rowOff>19050</xdr:rowOff>
    </xdr:from>
    <xdr:to>
      <xdr:col>15</xdr:col>
      <xdr:colOff>257175</xdr:colOff>
      <xdr:row>42</xdr:row>
      <xdr:rowOff>219075</xdr:rowOff>
    </xdr:to>
    <xdr:sp macro="" textlink="">
      <xdr:nvSpPr>
        <xdr:cNvPr id="3085" name="AutoShape 1">
          <a:extLst>
            <a:ext uri="{FF2B5EF4-FFF2-40B4-BE49-F238E27FC236}">
              <a16:creationId xmlns:a16="http://schemas.microsoft.com/office/drawing/2014/main" id="{00000000-0008-0000-0100-00000D0C0000}"/>
            </a:ext>
          </a:extLst>
        </xdr:cNvPr>
        <xdr:cNvSpPr>
          <a:spLocks noChangeArrowheads="1"/>
        </xdr:cNvSpPr>
      </xdr:nvSpPr>
      <xdr:spPr bwMode="auto">
        <a:xfrm>
          <a:off x="1095375" y="9010650"/>
          <a:ext cx="3381375" cy="457200"/>
        </a:xfrm>
        <a:prstGeom prst="bracketPair">
          <a:avLst>
            <a:gd name="adj" fmla="val 6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295275</xdr:colOff>
      <xdr:row>41</xdr:row>
      <xdr:rowOff>19050</xdr:rowOff>
    </xdr:from>
    <xdr:to>
      <xdr:col>15</xdr:col>
      <xdr:colOff>257175</xdr:colOff>
      <xdr:row>42</xdr:row>
      <xdr:rowOff>219075</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1095375" y="9010650"/>
          <a:ext cx="3381375" cy="457200"/>
        </a:xfrm>
        <a:prstGeom prst="bracketPair">
          <a:avLst>
            <a:gd name="adj" fmla="val 6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295275</xdr:colOff>
      <xdr:row>41</xdr:row>
      <xdr:rowOff>19050</xdr:rowOff>
    </xdr:from>
    <xdr:to>
      <xdr:col>15</xdr:col>
      <xdr:colOff>257175</xdr:colOff>
      <xdr:row>42</xdr:row>
      <xdr:rowOff>219075</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095375" y="9010650"/>
          <a:ext cx="3381375" cy="457200"/>
        </a:xfrm>
        <a:prstGeom prst="bracketPair">
          <a:avLst>
            <a:gd name="adj" fmla="val 6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W64"/>
  <sheetViews>
    <sheetView showGridLines="0" tabSelected="1" view="pageBreakPreview" zoomScale="106" zoomScaleNormal="85" zoomScaleSheetLayoutView="106" workbookViewId="0">
      <selection activeCell="U18" sqref="U18:V19"/>
    </sheetView>
  </sheetViews>
  <sheetFormatPr defaultColWidth="3.75" defaultRowHeight="18.75" customHeight="1" x14ac:dyDescent="0.15"/>
  <cols>
    <col min="1" max="1" width="3.5" style="2" customWidth="1"/>
    <col min="2" max="6" width="3.625" style="2" customWidth="1"/>
    <col min="7" max="7" width="4.25" style="2" customWidth="1"/>
    <col min="8" max="8" width="4.125" style="2" customWidth="1"/>
    <col min="9" max="12" width="3.625" style="2" customWidth="1"/>
    <col min="13" max="13" width="4.25" style="2" customWidth="1"/>
    <col min="14" max="23" width="3.625" style="2" customWidth="1"/>
    <col min="24" max="24" width="6.625" style="2" customWidth="1"/>
    <col min="25" max="25" width="3.625" style="2" customWidth="1"/>
    <col min="26" max="26" width="5.375" style="2" customWidth="1"/>
    <col min="27" max="30" width="3.625" style="2" customWidth="1"/>
    <col min="31" max="31" width="3.75" style="2" customWidth="1"/>
    <col min="32" max="32" width="4.625" style="2" customWidth="1"/>
    <col min="33" max="34" width="4.625" style="2" hidden="1" customWidth="1"/>
    <col min="35" max="35" width="3.375" style="2" hidden="1" customWidth="1"/>
    <col min="36" max="36" width="4.125" style="2" hidden="1" customWidth="1"/>
    <col min="37" max="116" width="3.375" style="2" hidden="1" customWidth="1"/>
    <col min="117" max="118" width="3.75" style="2" hidden="1" customWidth="1"/>
    <col min="119" max="123" width="3.75" style="2" customWidth="1"/>
    <col min="124" max="16384" width="3.75" style="2"/>
  </cols>
  <sheetData>
    <row r="1" spans="2:115" ht="18.75" customHeight="1" x14ac:dyDescent="0.15">
      <c r="B1" s="1" t="str">
        <f>"令和"&amp;BD32&amp;"年度　みよし市国民健康保険税　試算表"</f>
        <v>令和8年度　みよし市国民健康保険税　試算表</v>
      </c>
      <c r="U1" s="248"/>
      <c r="V1" s="248"/>
      <c r="W1" s="248"/>
      <c r="X1" s="248"/>
      <c r="Y1" s="248"/>
      <c r="Z1" s="248"/>
    </row>
    <row r="2" spans="2:115" ht="9.75" customHeight="1" x14ac:dyDescent="0.15"/>
    <row r="3" spans="2:115" ht="18.75" customHeight="1" x14ac:dyDescent="0.15">
      <c r="B3" s="2" t="str">
        <f>"　このエクセルシートに必要事項を入力すると、令和"&amp;BD32&amp;"年度みよし市国民健康保険税額の試算ができます。"</f>
        <v>　このエクセルシートに必要事項を入力すると、令和8年度みよし市国民健康保険税額の試算ができます。</v>
      </c>
      <c r="AJ3" s="249" t="s">
        <v>78</v>
      </c>
      <c r="AK3" s="249"/>
      <c r="AL3" s="249"/>
      <c r="AM3" s="249"/>
      <c r="AN3" s="249"/>
    </row>
    <row r="4" spans="2:115" ht="18.75" customHeight="1" x14ac:dyDescent="0.15">
      <c r="B4" s="3"/>
      <c r="C4" s="4"/>
      <c r="D4" s="250" t="s">
        <v>79</v>
      </c>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J4" s="252"/>
      <c r="AK4" s="252"/>
      <c r="AL4" s="252"/>
      <c r="AM4" s="252"/>
      <c r="AN4" s="252"/>
    </row>
    <row r="5" spans="2:115" ht="18.75" customHeight="1" x14ac:dyDescent="0.15">
      <c r="B5" s="7" t="s">
        <v>0</v>
      </c>
    </row>
    <row r="6" spans="2:115" s="7" customFormat="1" ht="17.25" customHeight="1" x14ac:dyDescent="0.15">
      <c r="B6" s="99" t="s">
        <v>1</v>
      </c>
      <c r="C6" s="7" t="s">
        <v>2</v>
      </c>
    </row>
    <row r="7" spans="2:115" s="7" customFormat="1" ht="17.25" customHeight="1" x14ac:dyDescent="0.15">
      <c r="B7" s="99" t="s">
        <v>1</v>
      </c>
      <c r="C7" s="7" t="s">
        <v>3</v>
      </c>
    </row>
    <row r="8" spans="2:115" s="7" customFormat="1" ht="17.25" customHeight="1" x14ac:dyDescent="0.15">
      <c r="B8" s="99" t="s">
        <v>1</v>
      </c>
      <c r="C8" s="34" t="s">
        <v>4</v>
      </c>
      <c r="AP8" s="253" t="s">
        <v>100</v>
      </c>
      <c r="AQ8" s="254"/>
      <c r="AR8" s="254"/>
      <c r="AS8" s="255"/>
      <c r="AT8" s="253" t="s">
        <v>101</v>
      </c>
      <c r="AU8" s="254"/>
      <c r="AV8" s="254"/>
      <c r="AW8" s="255"/>
      <c r="AX8" s="264" t="s">
        <v>99</v>
      </c>
      <c r="AY8" s="265"/>
      <c r="AZ8" s="265"/>
      <c r="BA8" s="266"/>
    </row>
    <row r="9" spans="2:115" s="7" customFormat="1" ht="17.25" customHeight="1" x14ac:dyDescent="0.15">
      <c r="B9" s="99"/>
      <c r="C9" s="7" t="s">
        <v>65</v>
      </c>
      <c r="E9" s="262" t="s">
        <v>118</v>
      </c>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O9" s="7">
        <v>1</v>
      </c>
      <c r="AP9" s="256" t="e">
        <f>IF(AP18&gt;100000,100000,AP18)</f>
        <v>#N/A</v>
      </c>
      <c r="AQ9" s="257"/>
      <c r="AR9" s="257"/>
      <c r="AS9" s="258"/>
      <c r="AT9" s="256" t="e">
        <f>IF(AT18&gt;100000,100000,AT18)</f>
        <v>#N/A</v>
      </c>
      <c r="AU9" s="257"/>
      <c r="AV9" s="257"/>
      <c r="AW9" s="258"/>
      <c r="AX9" s="259" t="e">
        <f>IF(SUM(AP9:AW9)&lt;=100000,0,SUM(AP9:AW9)-100000)</f>
        <v>#N/A</v>
      </c>
      <c r="AY9" s="260"/>
      <c r="AZ9" s="260"/>
      <c r="BA9" s="261"/>
    </row>
    <row r="10" spans="2:115" s="7" customFormat="1" ht="17.25" customHeight="1" x14ac:dyDescent="0.15">
      <c r="B10" s="99"/>
      <c r="E10" s="262" t="s">
        <v>132</v>
      </c>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O10" s="7">
        <v>2</v>
      </c>
      <c r="AP10" s="256" t="e">
        <f>IF(AP20&gt;100000,100000,AP20)</f>
        <v>#N/A</v>
      </c>
      <c r="AQ10" s="257"/>
      <c r="AR10" s="257"/>
      <c r="AS10" s="258"/>
      <c r="AT10" s="256" t="e">
        <f>IF(AT20&gt;100000,100000,AT20)</f>
        <v>#N/A</v>
      </c>
      <c r="AU10" s="257"/>
      <c r="AV10" s="257"/>
      <c r="AW10" s="258"/>
      <c r="AX10" s="259" t="e">
        <f>IF(SUM(AP10:AW10)&lt;=100000,0,SUM(AP10:AW10)-100000)</f>
        <v>#N/A</v>
      </c>
      <c r="AY10" s="260"/>
      <c r="AZ10" s="260"/>
      <c r="BA10" s="261"/>
    </row>
    <row r="11" spans="2:115" s="7" customFormat="1" ht="17.25" customHeight="1" x14ac:dyDescent="0.15">
      <c r="B11" s="99"/>
      <c r="E11" s="262" t="s">
        <v>152</v>
      </c>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P11" s="83"/>
      <c r="AQ11" s="84"/>
      <c r="AR11" s="84"/>
      <c r="AS11" s="85"/>
      <c r="AT11" s="83"/>
      <c r="AU11" s="84"/>
      <c r="AV11" s="84"/>
      <c r="AW11" s="85"/>
      <c r="AX11" s="86"/>
      <c r="AY11" s="87"/>
      <c r="AZ11" s="87"/>
      <c r="BA11" s="88"/>
    </row>
    <row r="12" spans="2:115" s="7" customFormat="1" ht="17.25" customHeight="1" x14ac:dyDescent="0.15">
      <c r="B12" s="263" t="s">
        <v>153</v>
      </c>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O12" s="7">
        <v>3</v>
      </c>
      <c r="AP12" s="256" t="e">
        <f>IF(AP22&gt;100000,100000,AP22)</f>
        <v>#N/A</v>
      </c>
      <c r="AQ12" s="257"/>
      <c r="AR12" s="257"/>
      <c r="AS12" s="258"/>
      <c r="AT12" s="256" t="e">
        <f>IF(AT22&gt;100000,100000,AT22)</f>
        <v>#N/A</v>
      </c>
      <c r="AU12" s="257"/>
      <c r="AV12" s="257"/>
      <c r="AW12" s="258"/>
      <c r="AX12" s="259" t="e">
        <f>IF(SUM(AP12:AW12)&lt;=100000,0,SUM(AP12:AW12)-100000)</f>
        <v>#N/A</v>
      </c>
      <c r="AY12" s="260"/>
      <c r="AZ12" s="260"/>
      <c r="BA12" s="261"/>
    </row>
    <row r="13" spans="2:115" s="7" customFormat="1" ht="17.25" customHeight="1" x14ac:dyDescent="0.15">
      <c r="B13" s="99" t="s">
        <v>154</v>
      </c>
      <c r="C13" s="7" t="s">
        <v>64</v>
      </c>
      <c r="AE13" s="100"/>
      <c r="AO13" s="7">
        <v>4</v>
      </c>
      <c r="AP13" s="256" t="e">
        <f>IF(AP24&gt;100000,100000,AP24)</f>
        <v>#N/A</v>
      </c>
      <c r="AQ13" s="257"/>
      <c r="AR13" s="257"/>
      <c r="AS13" s="258"/>
      <c r="AT13" s="256" t="e">
        <f>IF(AT24&gt;100000,100000,AT24)</f>
        <v>#N/A</v>
      </c>
      <c r="AU13" s="257"/>
      <c r="AV13" s="257"/>
      <c r="AW13" s="258"/>
      <c r="AX13" s="259" t="e">
        <f>IF(SUM(AP13:AW13)&lt;=100000,0,SUM(AP13:AW13)-100000)</f>
        <v>#N/A</v>
      </c>
      <c r="AY13" s="260"/>
      <c r="AZ13" s="260"/>
      <c r="BA13" s="261"/>
    </row>
    <row r="14" spans="2:115" s="7" customFormat="1" ht="17.25" customHeight="1" x14ac:dyDescent="0.15">
      <c r="B14" s="99" t="s">
        <v>119</v>
      </c>
      <c r="C14" s="262" t="s">
        <v>120</v>
      </c>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O14" s="7">
        <v>5</v>
      </c>
      <c r="AP14" s="256" t="e">
        <f>IF(AP26&gt;100000,100000,AP26)</f>
        <v>#N/A</v>
      </c>
      <c r="AQ14" s="257"/>
      <c r="AR14" s="257"/>
      <c r="AS14" s="258"/>
      <c r="AT14" s="256" t="e">
        <f>IF(AT26&gt;100000,100000,AT26)</f>
        <v>#N/A</v>
      </c>
      <c r="AU14" s="257"/>
      <c r="AV14" s="257"/>
      <c r="AW14" s="258"/>
      <c r="AX14" s="259" t="e">
        <f>IF(SUM(AP14:AW14)&lt;=100000,0,SUM(AP14:AW14)-100000)</f>
        <v>#N/A</v>
      </c>
      <c r="AY14" s="260"/>
      <c r="AZ14" s="260"/>
      <c r="BA14" s="261"/>
      <c r="CR14" s="560" t="s">
        <v>90</v>
      </c>
      <c r="CS14" s="560"/>
      <c r="CT14" s="560"/>
      <c r="CU14" s="560"/>
      <c r="CV14" s="560"/>
      <c r="CW14" s="560"/>
      <c r="CX14" s="560"/>
      <c r="CY14" s="560"/>
      <c r="CZ14" s="560"/>
      <c r="DA14" s="560"/>
      <c r="DB14" s="560"/>
      <c r="DC14" s="560"/>
      <c r="DD14" s="560"/>
      <c r="DE14" s="560"/>
      <c r="DF14" s="560"/>
      <c r="DG14" s="560"/>
      <c r="DH14" s="560"/>
      <c r="DI14" s="560"/>
      <c r="DJ14" s="560"/>
      <c r="DK14" s="560"/>
    </row>
    <row r="15" spans="2:115" s="78" customFormat="1" ht="21.75" customHeight="1" thickBot="1" x14ac:dyDescent="0.2">
      <c r="C15" s="550" t="s">
        <v>121</v>
      </c>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BB15" s="79">
        <v>1</v>
      </c>
      <c r="BC15" s="79">
        <v>2</v>
      </c>
      <c r="BD15" s="79">
        <v>3</v>
      </c>
      <c r="BE15" s="79">
        <v>4</v>
      </c>
      <c r="BF15" s="79">
        <v>5</v>
      </c>
      <c r="BG15" s="79">
        <v>6</v>
      </c>
      <c r="BH15" s="79">
        <v>7</v>
      </c>
      <c r="BI15" s="79">
        <v>8</v>
      </c>
      <c r="BJ15" s="79">
        <v>9</v>
      </c>
      <c r="BK15" s="79">
        <v>10</v>
      </c>
      <c r="BL15" s="79">
        <v>11</v>
      </c>
      <c r="BM15" s="79">
        <v>12</v>
      </c>
      <c r="BN15" s="79">
        <v>13</v>
      </c>
      <c r="BO15" s="79">
        <v>14</v>
      </c>
      <c r="BP15" s="79">
        <v>15</v>
      </c>
      <c r="BQ15" s="79">
        <v>16</v>
      </c>
      <c r="BR15" s="79">
        <v>17</v>
      </c>
      <c r="BS15" s="79">
        <v>18</v>
      </c>
      <c r="BT15" s="79">
        <v>19</v>
      </c>
      <c r="BU15" s="79">
        <v>20</v>
      </c>
      <c r="BV15" s="79">
        <v>21</v>
      </c>
      <c r="BW15" s="79">
        <v>22</v>
      </c>
      <c r="BX15" s="79">
        <v>23</v>
      </c>
      <c r="BY15" s="79">
        <v>24</v>
      </c>
      <c r="BZ15" s="79">
        <v>25</v>
      </c>
      <c r="CA15" s="79">
        <v>26</v>
      </c>
      <c r="CB15" s="79">
        <v>27</v>
      </c>
      <c r="CC15" s="79">
        <v>28</v>
      </c>
      <c r="CD15" s="79">
        <v>29</v>
      </c>
      <c r="CE15" s="79">
        <v>30</v>
      </c>
      <c r="CF15" s="79">
        <v>31</v>
      </c>
      <c r="CG15" s="79">
        <v>32</v>
      </c>
      <c r="CH15" s="79">
        <v>1</v>
      </c>
      <c r="CI15" s="79">
        <v>2</v>
      </c>
      <c r="CJ15" s="79">
        <v>3</v>
      </c>
      <c r="CK15" s="79">
        <v>4</v>
      </c>
      <c r="CL15" s="79">
        <v>5</v>
      </c>
      <c r="CM15" s="79">
        <v>6</v>
      </c>
      <c r="CN15" s="79">
        <v>7</v>
      </c>
      <c r="CO15" s="79">
        <v>8</v>
      </c>
      <c r="CP15" s="79">
        <v>9</v>
      </c>
      <c r="CQ15" s="79">
        <v>10</v>
      </c>
      <c r="CR15" s="79">
        <v>11</v>
      </c>
      <c r="CS15" s="79">
        <v>12</v>
      </c>
      <c r="CT15" s="79">
        <v>13</v>
      </c>
      <c r="CU15" s="79">
        <v>14</v>
      </c>
      <c r="CV15" s="79">
        <v>15</v>
      </c>
      <c r="CW15" s="79">
        <v>16</v>
      </c>
      <c r="CX15" s="79">
        <v>17</v>
      </c>
      <c r="CY15" s="79">
        <v>18</v>
      </c>
      <c r="CZ15" s="79">
        <v>19</v>
      </c>
      <c r="DA15" s="79">
        <v>20</v>
      </c>
      <c r="DB15" s="79">
        <v>21</v>
      </c>
      <c r="DC15" s="79">
        <v>22</v>
      </c>
      <c r="DD15" s="79">
        <v>23</v>
      </c>
      <c r="DE15" s="79">
        <v>24</v>
      </c>
      <c r="DF15" s="79">
        <v>25</v>
      </c>
      <c r="DG15" s="79">
        <v>26</v>
      </c>
      <c r="DH15" s="79">
        <v>27</v>
      </c>
      <c r="DI15" s="79">
        <v>28</v>
      </c>
      <c r="DJ15" s="79">
        <v>29</v>
      </c>
      <c r="DK15" s="79">
        <v>30</v>
      </c>
    </row>
    <row r="16" spans="2:115" ht="20.25" customHeight="1" thickBot="1" x14ac:dyDescent="0.2">
      <c r="B16" s="267" t="s">
        <v>162</v>
      </c>
      <c r="C16" s="268"/>
      <c r="D16" s="269"/>
      <c r="E16" s="273" t="str">
        <f>"令和"&amp;BD32&amp;"年1月1日
時点の年齢"</f>
        <v>令和8年1月1日
時点の年齢</v>
      </c>
      <c r="F16" s="268"/>
      <c r="G16" s="269"/>
      <c r="H16" s="273" t="s">
        <v>80</v>
      </c>
      <c r="I16" s="268"/>
      <c r="J16" s="269"/>
      <c r="K16" s="273" t="s">
        <v>7</v>
      </c>
      <c r="L16" s="268"/>
      <c r="M16" s="268"/>
      <c r="N16" s="268"/>
      <c r="O16" s="269"/>
      <c r="P16" s="273" t="s">
        <v>8</v>
      </c>
      <c r="Q16" s="268"/>
      <c r="R16" s="268"/>
      <c r="S16" s="268"/>
      <c r="T16" s="269"/>
      <c r="U16" s="273" t="s">
        <v>163</v>
      </c>
      <c r="V16" s="104"/>
      <c r="W16" s="172"/>
      <c r="X16" s="171" t="s">
        <v>9</v>
      </c>
      <c r="Y16" s="104"/>
      <c r="Z16" s="104"/>
      <c r="AA16" s="105"/>
      <c r="AB16" s="329" t="s">
        <v>83</v>
      </c>
      <c r="AC16" s="330"/>
      <c r="AD16" s="330"/>
      <c r="AE16" s="331"/>
      <c r="AJ16" s="216" t="s">
        <v>156</v>
      </c>
      <c r="AK16" s="217"/>
      <c r="AL16" s="217"/>
      <c r="AM16" s="335" t="s">
        <v>157</v>
      </c>
      <c r="AN16" s="182"/>
      <c r="AO16" s="336"/>
      <c r="AP16" s="294" t="s">
        <v>158</v>
      </c>
      <c r="AQ16" s="295"/>
      <c r="AR16" s="295"/>
      <c r="AS16" s="296"/>
      <c r="AT16" s="294" t="s">
        <v>159</v>
      </c>
      <c r="AU16" s="295"/>
      <c r="AV16" s="295"/>
      <c r="AW16" s="296"/>
      <c r="AX16" s="294" t="s">
        <v>160</v>
      </c>
      <c r="AY16" s="295"/>
      <c r="AZ16" s="295"/>
      <c r="BA16" s="295"/>
      <c r="BB16" s="292" t="s">
        <v>142</v>
      </c>
      <c r="BC16" s="242"/>
      <c r="BD16" s="242"/>
      <c r="BE16" s="242"/>
      <c r="BF16" s="242"/>
      <c r="BG16" s="242"/>
      <c r="BH16" s="242"/>
      <c r="BI16" s="242"/>
      <c r="BJ16" s="242"/>
      <c r="BK16" s="242"/>
      <c r="BL16" s="242"/>
      <c r="BM16" s="242"/>
      <c r="BN16" s="242"/>
      <c r="BO16" s="242"/>
      <c r="BP16" s="242"/>
      <c r="BQ16" s="242"/>
      <c r="BR16" s="293"/>
      <c r="BS16" s="217" t="s">
        <v>143</v>
      </c>
      <c r="BT16" s="217"/>
      <c r="BU16" s="217"/>
      <c r="BV16" s="217" t="s">
        <v>144</v>
      </c>
      <c r="BW16" s="217"/>
      <c r="BX16" s="217"/>
      <c r="BY16" s="217" t="s">
        <v>145</v>
      </c>
      <c r="BZ16" s="217"/>
      <c r="CA16" s="217"/>
      <c r="CB16" s="217" t="s">
        <v>146</v>
      </c>
      <c r="CC16" s="217"/>
      <c r="CD16" s="217"/>
      <c r="CE16" s="217" t="s">
        <v>147</v>
      </c>
      <c r="CF16" s="217"/>
      <c r="CG16" s="288"/>
      <c r="CH16" s="289" t="s">
        <v>20</v>
      </c>
      <c r="CI16" s="290"/>
      <c r="CJ16" s="290"/>
      <c r="CK16" s="290"/>
      <c r="CL16" s="290"/>
      <c r="CM16" s="290"/>
      <c r="CN16" s="290"/>
      <c r="CO16" s="290"/>
      <c r="CP16" s="290"/>
      <c r="CQ16" s="290"/>
      <c r="CR16" s="290"/>
      <c r="CS16" s="290"/>
      <c r="CT16" s="290"/>
      <c r="CU16" s="290"/>
      <c r="CV16" s="291"/>
      <c r="CW16" s="277" t="s">
        <v>15</v>
      </c>
      <c r="CX16" s="277"/>
      <c r="CY16" s="277"/>
      <c r="CZ16" s="277" t="s">
        <v>16</v>
      </c>
      <c r="DA16" s="277"/>
      <c r="DB16" s="277"/>
      <c r="DC16" s="277" t="s">
        <v>17</v>
      </c>
      <c r="DD16" s="277"/>
      <c r="DE16" s="277"/>
      <c r="DF16" s="277" t="s">
        <v>18</v>
      </c>
      <c r="DG16" s="277"/>
      <c r="DH16" s="277"/>
      <c r="DI16" s="277" t="s">
        <v>19</v>
      </c>
      <c r="DJ16" s="277"/>
      <c r="DK16" s="278"/>
    </row>
    <row r="17" spans="2:127" ht="20.25" customHeight="1" thickBot="1" x14ac:dyDescent="0.2">
      <c r="B17" s="270"/>
      <c r="C17" s="271"/>
      <c r="D17" s="272"/>
      <c r="E17" s="274"/>
      <c r="F17" s="271"/>
      <c r="G17" s="272"/>
      <c r="H17" s="274"/>
      <c r="I17" s="271"/>
      <c r="J17" s="272"/>
      <c r="K17" s="274"/>
      <c r="L17" s="271"/>
      <c r="M17" s="271"/>
      <c r="N17" s="271"/>
      <c r="O17" s="272"/>
      <c r="P17" s="274"/>
      <c r="Q17" s="271"/>
      <c r="R17" s="271"/>
      <c r="S17" s="271"/>
      <c r="T17" s="272"/>
      <c r="U17" s="275"/>
      <c r="V17" s="110"/>
      <c r="W17" s="276"/>
      <c r="X17" s="275"/>
      <c r="Y17" s="110"/>
      <c r="Z17" s="110"/>
      <c r="AA17" s="111"/>
      <c r="AB17" s="332"/>
      <c r="AC17" s="333"/>
      <c r="AD17" s="333"/>
      <c r="AE17" s="334"/>
      <c r="AJ17" s="218"/>
      <c r="AK17" s="219"/>
      <c r="AL17" s="219"/>
      <c r="AM17" s="337"/>
      <c r="AN17" s="338"/>
      <c r="AO17" s="339"/>
      <c r="AP17" s="297"/>
      <c r="AQ17" s="298"/>
      <c r="AR17" s="298"/>
      <c r="AS17" s="299"/>
      <c r="AT17" s="297"/>
      <c r="AU17" s="298"/>
      <c r="AV17" s="298"/>
      <c r="AW17" s="299"/>
      <c r="AX17" s="297"/>
      <c r="AY17" s="298"/>
      <c r="AZ17" s="298"/>
      <c r="BA17" s="298"/>
      <c r="BB17" s="76">
        <v>1</v>
      </c>
      <c r="BC17" s="279">
        <v>0</v>
      </c>
      <c r="BD17" s="279"/>
      <c r="BE17" s="279"/>
      <c r="BF17" s="82" t="s">
        <v>148</v>
      </c>
      <c r="BG17" s="279">
        <v>650999</v>
      </c>
      <c r="BH17" s="279"/>
      <c r="BI17" s="279"/>
      <c r="BJ17" s="219">
        <v>0</v>
      </c>
      <c r="BK17" s="219"/>
      <c r="BL17" s="219"/>
      <c r="BM17" s="219"/>
      <c r="BN17" s="219"/>
      <c r="BO17" s="219"/>
      <c r="BP17" s="219"/>
      <c r="BQ17" s="219"/>
      <c r="BR17" s="239"/>
      <c r="BS17" s="280">
        <v>0</v>
      </c>
      <c r="BT17" s="280"/>
      <c r="BU17" s="280"/>
      <c r="BV17" s="280">
        <v>0</v>
      </c>
      <c r="BW17" s="280"/>
      <c r="BX17" s="280"/>
      <c r="BY17" s="280">
        <v>0</v>
      </c>
      <c r="BZ17" s="280"/>
      <c r="CA17" s="280"/>
      <c r="CB17" s="280">
        <v>0</v>
      </c>
      <c r="CC17" s="280"/>
      <c r="CD17" s="280"/>
      <c r="CE17" s="280">
        <v>0</v>
      </c>
      <c r="CF17" s="280"/>
      <c r="CG17" s="281"/>
      <c r="CH17" s="80">
        <v>1</v>
      </c>
      <c r="CI17" s="282">
        <v>65</v>
      </c>
      <c r="CJ17" s="283"/>
      <c r="CK17" s="324"/>
      <c r="CL17" s="324"/>
      <c r="CM17" s="74"/>
      <c r="CN17" s="89" t="s">
        <v>98</v>
      </c>
      <c r="CO17" s="325">
        <v>900000</v>
      </c>
      <c r="CP17" s="325"/>
      <c r="CQ17" s="326"/>
      <c r="CR17" s="327" t="s">
        <v>95</v>
      </c>
      <c r="CS17" s="328"/>
      <c r="CT17" s="328"/>
      <c r="CU17" s="328"/>
      <c r="CV17" s="328"/>
      <c r="CW17" s="300">
        <v>0</v>
      </c>
      <c r="CX17" s="301"/>
      <c r="CY17" s="302"/>
      <c r="CZ17" s="300">
        <v>0</v>
      </c>
      <c r="DA17" s="301"/>
      <c r="DB17" s="302"/>
      <c r="DC17" s="300">
        <v>0</v>
      </c>
      <c r="DD17" s="301"/>
      <c r="DE17" s="302"/>
      <c r="DF17" s="300">
        <v>0</v>
      </c>
      <c r="DG17" s="301"/>
      <c r="DH17" s="302"/>
      <c r="DI17" s="300">
        <v>0</v>
      </c>
      <c r="DJ17" s="301"/>
      <c r="DK17" s="303"/>
    </row>
    <row r="18" spans="2:127" ht="18" customHeight="1" x14ac:dyDescent="0.15">
      <c r="B18" s="304" t="s">
        <v>22</v>
      </c>
      <c r="C18" s="305"/>
      <c r="D18" s="306"/>
      <c r="E18" s="310"/>
      <c r="F18" s="311"/>
      <c r="G18" s="314" t="s">
        <v>23</v>
      </c>
      <c r="H18" s="310"/>
      <c r="I18" s="311"/>
      <c r="J18" s="314" t="s">
        <v>23</v>
      </c>
      <c r="K18" s="316"/>
      <c r="L18" s="317"/>
      <c r="M18" s="317"/>
      <c r="N18" s="317"/>
      <c r="O18" s="47" t="s">
        <v>24</v>
      </c>
      <c r="P18" s="316"/>
      <c r="Q18" s="317"/>
      <c r="R18" s="317"/>
      <c r="S18" s="317"/>
      <c r="T18" s="47" t="s">
        <v>24</v>
      </c>
      <c r="U18" s="320"/>
      <c r="V18" s="321"/>
      <c r="W18" s="47" t="s">
        <v>24</v>
      </c>
      <c r="X18" s="372" t="str">
        <f>IF($E$18="","",SUM(AP18:BA19)-$AX$9)</f>
        <v/>
      </c>
      <c r="Y18" s="373"/>
      <c r="Z18" s="373"/>
      <c r="AA18" s="35" t="s">
        <v>24</v>
      </c>
      <c r="AB18" s="376" t="str">
        <f>IF(X18="","",IF(X18&lt;=430000,0,X18-430000))</f>
        <v/>
      </c>
      <c r="AC18" s="373"/>
      <c r="AD18" s="373"/>
      <c r="AE18" s="35" t="s">
        <v>24</v>
      </c>
      <c r="AJ18" s="378" t="str">
        <f>IF(K18="","",IF(K18&lt;BC18,1,IF(K18&lt;BC19,2,IF(K18&lt;BC20,3,IF(K18&lt;BC21,4,IF(K18&lt;BC22,5,IF(K18&gt;=BC23,6,"")))))))</f>
        <v/>
      </c>
      <c r="AK18" s="379"/>
      <c r="AL18" s="361">
        <f>IF(AJ18="",AK18,AJ18)</f>
        <v>0</v>
      </c>
      <c r="AM18" s="380" t="str">
        <f>IF(P18="","",IF(E18&lt;65,"",IF(E18&gt;=65,IF(P18&lt;=$CO$16,1,IF(P18&lt;=$CO$17,2,IF(P18&lt;=$CO$18,3,IF(P18&lt;=$CO$19,4,IF(P18&lt;=$CO$20,5,IF(P18&lt;=$CO$21,6,IF(P18&lt;=$CO$22,7,IF(P18&gt;=$CK$23,8,"")))))))))))</f>
        <v/>
      </c>
      <c r="AN18" s="359" t="str">
        <f>IF($P$17="","",IF($E$17-1&gt;=65,"",IF($E$17-1&lt;65,IF($P$17&lt;=$CO$24,9,IF($P$17&lt;=$CO$25,10,IF($P$17&lt;=$CO$26,11,IF($P$17&lt;=$CO$27,12,IF($P$17&lt;=$CO$28,13,IF($P$17&lt;=$CO$29,14,IF($P$17&lt;=$CO$30,15,IF($P$17&gt;=$CK$31,16,"")))))))))))</f>
        <v/>
      </c>
      <c r="AO18" s="361" t="str">
        <f>IF(AM18="",AN18,AM18)</f>
        <v/>
      </c>
      <c r="AP18" s="280" t="e">
        <f>IF(AL18="",0,VLOOKUP(AL18,BB17:CG27,18,0))</f>
        <v>#N/A</v>
      </c>
      <c r="AQ18" s="280"/>
      <c r="AR18" s="280"/>
      <c r="AS18" s="280"/>
      <c r="AT18" s="362" t="e">
        <f>IF((AP18+AX18)&lt;=10000000,'試算～1000'!AT18:AW19,IF(AND((AP18+AX18)&gt;10000000,(AP18+AX18)&lt;=20000000),'試算1000～2000'!AT18:AW19,IF((AP18+AX18)&gt;20000000,'試算2000～'!AT18:AW19,0)))</f>
        <v>#N/A</v>
      </c>
      <c r="AU18" s="363"/>
      <c r="AV18" s="363"/>
      <c r="AW18" s="364"/>
      <c r="AX18" s="368">
        <f>U18</f>
        <v>0</v>
      </c>
      <c r="AY18" s="369"/>
      <c r="AZ18" s="369"/>
      <c r="BA18" s="369"/>
      <c r="BB18" s="76">
        <v>2</v>
      </c>
      <c r="BC18" s="279">
        <v>651000</v>
      </c>
      <c r="BD18" s="279"/>
      <c r="BE18" s="279"/>
      <c r="BF18" s="82" t="s">
        <v>148</v>
      </c>
      <c r="BG18" s="279">
        <v>1899999</v>
      </c>
      <c r="BH18" s="279"/>
      <c r="BI18" s="279"/>
      <c r="BJ18" s="219" t="s">
        <v>155</v>
      </c>
      <c r="BK18" s="219"/>
      <c r="BL18" s="219"/>
      <c r="BM18" s="219"/>
      <c r="BN18" s="219"/>
      <c r="BO18" s="219"/>
      <c r="BP18" s="219"/>
      <c r="BQ18" s="219"/>
      <c r="BR18" s="239"/>
      <c r="BS18" s="280">
        <f>K18-650000</f>
        <v>-650000</v>
      </c>
      <c r="BT18" s="280"/>
      <c r="BU18" s="280"/>
      <c r="BV18" s="280">
        <f>K20-650000</f>
        <v>-650000</v>
      </c>
      <c r="BW18" s="280"/>
      <c r="BX18" s="280"/>
      <c r="BY18" s="280">
        <f>K22-650000</f>
        <v>-650000</v>
      </c>
      <c r="BZ18" s="280"/>
      <c r="CA18" s="280"/>
      <c r="CB18" s="280">
        <f>K24-650000</f>
        <v>-650000</v>
      </c>
      <c r="CC18" s="280"/>
      <c r="CD18" s="280"/>
      <c r="CE18" s="280">
        <f>K26-650000</f>
        <v>-650000</v>
      </c>
      <c r="CF18" s="280"/>
      <c r="CG18" s="281"/>
      <c r="CH18" s="81">
        <v>2</v>
      </c>
      <c r="CI18" s="284"/>
      <c r="CJ18" s="285"/>
      <c r="CK18" s="347">
        <f>CO17+1</f>
        <v>900001</v>
      </c>
      <c r="CL18" s="347"/>
      <c r="CM18" s="347"/>
      <c r="CN18" s="90" t="s">
        <v>98</v>
      </c>
      <c r="CO18" s="348">
        <v>1000000</v>
      </c>
      <c r="CP18" s="348"/>
      <c r="CQ18" s="349"/>
      <c r="CR18" s="350" t="s">
        <v>95</v>
      </c>
      <c r="CS18" s="351"/>
      <c r="CT18" s="351"/>
      <c r="CU18" s="351"/>
      <c r="CV18" s="351"/>
      <c r="CW18" s="340">
        <v>0</v>
      </c>
      <c r="CX18" s="341"/>
      <c r="CY18" s="342"/>
      <c r="CZ18" s="340">
        <v>0</v>
      </c>
      <c r="DA18" s="341"/>
      <c r="DB18" s="342"/>
      <c r="DC18" s="340">
        <v>0</v>
      </c>
      <c r="DD18" s="341"/>
      <c r="DE18" s="342"/>
      <c r="DF18" s="340">
        <v>0</v>
      </c>
      <c r="DG18" s="341"/>
      <c r="DH18" s="342"/>
      <c r="DI18" s="340">
        <v>0</v>
      </c>
      <c r="DJ18" s="341"/>
      <c r="DK18" s="343"/>
    </row>
    <row r="19" spans="2:127" ht="18" customHeight="1" x14ac:dyDescent="0.15">
      <c r="B19" s="307"/>
      <c r="C19" s="308"/>
      <c r="D19" s="309"/>
      <c r="E19" s="312"/>
      <c r="F19" s="313"/>
      <c r="G19" s="315"/>
      <c r="H19" s="312"/>
      <c r="I19" s="313"/>
      <c r="J19" s="315"/>
      <c r="K19" s="318"/>
      <c r="L19" s="319"/>
      <c r="M19" s="319"/>
      <c r="N19" s="319"/>
      <c r="O19" s="46"/>
      <c r="P19" s="318"/>
      <c r="Q19" s="319"/>
      <c r="R19" s="319"/>
      <c r="S19" s="319"/>
      <c r="T19" s="46"/>
      <c r="U19" s="322"/>
      <c r="V19" s="323"/>
      <c r="W19" s="46"/>
      <c r="X19" s="374"/>
      <c r="Y19" s="375"/>
      <c r="Z19" s="375"/>
      <c r="AA19" s="36"/>
      <c r="AB19" s="377"/>
      <c r="AC19" s="375"/>
      <c r="AD19" s="375"/>
      <c r="AE19" s="36"/>
      <c r="AJ19" s="378"/>
      <c r="AK19" s="379"/>
      <c r="AL19" s="361"/>
      <c r="AM19" s="381"/>
      <c r="AN19" s="360"/>
      <c r="AO19" s="361"/>
      <c r="AP19" s="280"/>
      <c r="AQ19" s="280"/>
      <c r="AR19" s="280"/>
      <c r="AS19" s="280"/>
      <c r="AT19" s="365"/>
      <c r="AU19" s="366"/>
      <c r="AV19" s="366"/>
      <c r="AW19" s="367"/>
      <c r="AX19" s="370"/>
      <c r="AY19" s="371"/>
      <c r="AZ19" s="371"/>
      <c r="BA19" s="371"/>
      <c r="BB19" s="76">
        <v>3</v>
      </c>
      <c r="BC19" s="344">
        <v>1900000</v>
      </c>
      <c r="BD19" s="345"/>
      <c r="BE19" s="346"/>
      <c r="BF19" s="82" t="s">
        <v>148</v>
      </c>
      <c r="BG19" s="344">
        <v>3599999</v>
      </c>
      <c r="BH19" s="345"/>
      <c r="BI19" s="346"/>
      <c r="BJ19" s="219" t="s">
        <v>149</v>
      </c>
      <c r="BK19" s="219"/>
      <c r="BL19" s="219"/>
      <c r="BM19" s="219"/>
      <c r="BN19" s="219"/>
      <c r="BO19" s="219"/>
      <c r="BP19" s="219"/>
      <c r="BQ19" s="219"/>
      <c r="BR19" s="239"/>
      <c r="BS19" s="280">
        <f>(ROUNDDOWN(K18/4,-3)*2.8)-80000</f>
        <v>-80000</v>
      </c>
      <c r="BT19" s="280"/>
      <c r="BU19" s="280"/>
      <c r="BV19" s="280">
        <f>(ROUNDDOWN(K20/4,-3)*2.8)-80000</f>
        <v>-80000</v>
      </c>
      <c r="BW19" s="280"/>
      <c r="BX19" s="280"/>
      <c r="BY19" s="280">
        <f>(ROUNDDOWN(K22/4,-3)*2.8)-80000</f>
        <v>-80000</v>
      </c>
      <c r="BZ19" s="280"/>
      <c r="CA19" s="280"/>
      <c r="CB19" s="280">
        <f>(ROUNDDOWN(K24/4,-3)*2.8)-80000</f>
        <v>-80000</v>
      </c>
      <c r="CC19" s="280"/>
      <c r="CD19" s="280"/>
      <c r="CE19" s="280">
        <f>(ROUNDDOWN(K26/4,-3)*2.8)-80000</f>
        <v>-80000</v>
      </c>
      <c r="CF19" s="280"/>
      <c r="CG19" s="281"/>
      <c r="CH19" s="81">
        <v>3</v>
      </c>
      <c r="CI19" s="284"/>
      <c r="CJ19" s="285"/>
      <c r="CK19" s="347">
        <f t="shared" ref="CK19:CK24" si="0">CO18+1</f>
        <v>1000001</v>
      </c>
      <c r="CL19" s="347"/>
      <c r="CM19" s="347"/>
      <c r="CN19" s="90" t="s">
        <v>98</v>
      </c>
      <c r="CO19" s="348">
        <v>1100000</v>
      </c>
      <c r="CP19" s="348"/>
      <c r="CQ19" s="349"/>
      <c r="CR19" s="350" t="s">
        <v>95</v>
      </c>
      <c r="CS19" s="351"/>
      <c r="CT19" s="351"/>
      <c r="CU19" s="351"/>
      <c r="CV19" s="351"/>
      <c r="CW19" s="340">
        <v>0</v>
      </c>
      <c r="CX19" s="341"/>
      <c r="CY19" s="342"/>
      <c r="CZ19" s="340">
        <v>0</v>
      </c>
      <c r="DA19" s="341"/>
      <c r="DB19" s="342"/>
      <c r="DC19" s="340">
        <v>0</v>
      </c>
      <c r="DD19" s="341"/>
      <c r="DE19" s="342"/>
      <c r="DF19" s="340">
        <v>0</v>
      </c>
      <c r="DG19" s="341"/>
      <c r="DH19" s="342"/>
      <c r="DI19" s="340">
        <v>0</v>
      </c>
      <c r="DJ19" s="341"/>
      <c r="DK19" s="343"/>
      <c r="DW19" s="13"/>
    </row>
    <row r="20" spans="2:127" ht="18" customHeight="1" x14ac:dyDescent="0.15">
      <c r="B20" s="386" t="s">
        <v>25</v>
      </c>
      <c r="C20" s="387"/>
      <c r="D20" s="388"/>
      <c r="E20" s="353"/>
      <c r="F20" s="354"/>
      <c r="G20" s="352" t="s">
        <v>23</v>
      </c>
      <c r="H20" s="353"/>
      <c r="I20" s="354"/>
      <c r="J20" s="352" t="s">
        <v>23</v>
      </c>
      <c r="K20" s="355"/>
      <c r="L20" s="356"/>
      <c r="M20" s="356"/>
      <c r="N20" s="356"/>
      <c r="O20" s="43" t="s">
        <v>24</v>
      </c>
      <c r="P20" s="357"/>
      <c r="Q20" s="358"/>
      <c r="R20" s="358"/>
      <c r="S20" s="358"/>
      <c r="T20" s="43" t="s">
        <v>24</v>
      </c>
      <c r="U20" s="389"/>
      <c r="V20" s="390"/>
      <c r="W20" s="45" t="s">
        <v>24</v>
      </c>
      <c r="X20" s="391" t="str">
        <f>IF($E$20="","",SUM(AP20:BA21)-$AX$10)</f>
        <v/>
      </c>
      <c r="Y20" s="392"/>
      <c r="Z20" s="392"/>
      <c r="AA20" s="37" t="s">
        <v>24</v>
      </c>
      <c r="AB20" s="393" t="str">
        <f>IF(X20="","",IF(X20&lt;=430000,0,X20-430000))</f>
        <v/>
      </c>
      <c r="AC20" s="392"/>
      <c r="AD20" s="392"/>
      <c r="AE20" s="42" t="s">
        <v>24</v>
      </c>
      <c r="AJ20" s="378" t="str">
        <f>IF(K20="","",IF(K20&lt;BC18,1,IF(K20&lt;BC19,2,IF(K20&lt;BC20,3,IF(K20&lt;BC21,4,IF(K20&lt;BC22,5,IF(K20&lt;BC23,6,"")))))))</f>
        <v/>
      </c>
      <c r="AK20" s="379"/>
      <c r="AL20" s="361">
        <f>IF(AJ20="",AK20,AJ20)</f>
        <v>0</v>
      </c>
      <c r="AM20" s="380" t="str">
        <f>IF(P20="","",IF(E20&lt;65,"",IF(E20&gt;=65,IF(P20&lt;=$CO$16,1,IF(P20&lt;=$CO$17,2,IF(P20&lt;=$CO$18,3,IF(P20&lt;=$CO$19,4,IF(P20&lt;=$CO$20,5,IF(P20&lt;=$CO$21,6,IF(P20&lt;=$CO$22,7,IF(P20&gt;=$CK$23,8,"")))))))))))</f>
        <v/>
      </c>
      <c r="AN20" s="359" t="str">
        <f>IF($P$19="","",IF($E$19-1&gt;=65,"",IF($E$19-1&lt;65,IF($P$19&lt;=$CO$24,9,IF($P$19&lt;=$CO$25,10,IF($P$19&lt;=$CO$26,11,IF($P$19&lt;=$CO$27,12,IF($P$19&lt;=$CO$28,13,IF($P$19&lt;=$CO$29,14,IF($P$19&lt;=$CO$30,15,IF($P$19&gt;=$CK$31,16,"")))))))))))</f>
        <v/>
      </c>
      <c r="AO20" s="361" t="str">
        <f>IF(AM20="",AN20,AM20)</f>
        <v/>
      </c>
      <c r="AP20" s="280" t="e">
        <f>IF(AL20="",0,VLOOKUP(AL20,BB17:CG27,21,0))</f>
        <v>#N/A</v>
      </c>
      <c r="AQ20" s="280"/>
      <c r="AR20" s="280"/>
      <c r="AS20" s="280"/>
      <c r="AT20" s="362" t="e">
        <f>IF((AP20+AX20)&lt;=10000000,'試算～1000'!AT20:AW21,IF(AND((AP20+AX20)&gt;10000000,(AP20+AX20)&lt;=20000000),'試算1000～2000'!AT20:AW21,IF((AP20+AX20)&gt;20000000,'試算2000～'!AT20:AW21,0)))</f>
        <v>#N/A</v>
      </c>
      <c r="AU20" s="363"/>
      <c r="AV20" s="363"/>
      <c r="AW20" s="364"/>
      <c r="AX20" s="368">
        <f>U20</f>
        <v>0</v>
      </c>
      <c r="AY20" s="369"/>
      <c r="AZ20" s="369"/>
      <c r="BA20" s="369"/>
      <c r="BB20" s="76">
        <v>4</v>
      </c>
      <c r="BC20" s="344">
        <v>3600000</v>
      </c>
      <c r="BD20" s="345"/>
      <c r="BE20" s="346"/>
      <c r="BF20" s="82" t="s">
        <v>148</v>
      </c>
      <c r="BG20" s="344">
        <v>6599999</v>
      </c>
      <c r="BH20" s="345"/>
      <c r="BI20" s="346"/>
      <c r="BJ20" s="219" t="s">
        <v>150</v>
      </c>
      <c r="BK20" s="219"/>
      <c r="BL20" s="219"/>
      <c r="BM20" s="219"/>
      <c r="BN20" s="219"/>
      <c r="BO20" s="219"/>
      <c r="BP20" s="219"/>
      <c r="BQ20" s="219"/>
      <c r="BR20" s="239"/>
      <c r="BS20" s="382">
        <f>ROUNDDOWN(K18/4,-3)*3.2-440000</f>
        <v>-440000</v>
      </c>
      <c r="BT20" s="383"/>
      <c r="BU20" s="384"/>
      <c r="BV20" s="382">
        <f>ROUNDDOWN(K20/4,-3)*3.2-440000</f>
        <v>-440000</v>
      </c>
      <c r="BW20" s="383"/>
      <c r="BX20" s="384"/>
      <c r="BY20" s="382">
        <f>ROUNDDOWN(K22/4,-3)*3.2-440000</f>
        <v>-440000</v>
      </c>
      <c r="BZ20" s="383"/>
      <c r="CA20" s="384"/>
      <c r="CB20" s="382">
        <f>ROUNDDOWN(K24/4,-3)*3.2-440000</f>
        <v>-440000</v>
      </c>
      <c r="CC20" s="383"/>
      <c r="CD20" s="384"/>
      <c r="CE20" s="382">
        <f>ROUNDDOWN(K26/4,-3)*3.2-440000</f>
        <v>-440000</v>
      </c>
      <c r="CF20" s="383"/>
      <c r="CG20" s="385"/>
      <c r="CH20" s="81">
        <v>4</v>
      </c>
      <c r="CI20" s="284"/>
      <c r="CJ20" s="285"/>
      <c r="CK20" s="347">
        <f t="shared" si="0"/>
        <v>1100001</v>
      </c>
      <c r="CL20" s="347"/>
      <c r="CM20" s="347"/>
      <c r="CN20" s="90" t="s">
        <v>98</v>
      </c>
      <c r="CO20" s="348">
        <v>3300000</v>
      </c>
      <c r="CP20" s="348"/>
      <c r="CQ20" s="349"/>
      <c r="CR20" s="218" t="s">
        <v>91</v>
      </c>
      <c r="CS20" s="219"/>
      <c r="CT20" s="219"/>
      <c r="CU20" s="219"/>
      <c r="CV20" s="219"/>
      <c r="CW20" s="340">
        <f>IF(P18-1100000&gt;0,P18-1100000,0)</f>
        <v>0</v>
      </c>
      <c r="CX20" s="341"/>
      <c r="CY20" s="342"/>
      <c r="CZ20" s="340">
        <f>IF(P20-1100000&gt;0,P20-1100000,0)</f>
        <v>0</v>
      </c>
      <c r="DA20" s="341"/>
      <c r="DB20" s="342"/>
      <c r="DC20" s="340">
        <f>IF(P22-1100000&gt;0,P22-1100000,0)</f>
        <v>0</v>
      </c>
      <c r="DD20" s="341"/>
      <c r="DE20" s="342"/>
      <c r="DF20" s="340">
        <f>IF(P24-1100000&gt;0,P24-1100000,0)</f>
        <v>0</v>
      </c>
      <c r="DG20" s="341"/>
      <c r="DH20" s="342"/>
      <c r="DI20" s="340">
        <f>IF(P26-1100000&gt;0,P26-1100000,0)</f>
        <v>0</v>
      </c>
      <c r="DJ20" s="341"/>
      <c r="DK20" s="343"/>
    </row>
    <row r="21" spans="2:127" ht="18" customHeight="1" x14ac:dyDescent="0.15">
      <c r="B21" s="307"/>
      <c r="C21" s="308"/>
      <c r="D21" s="309"/>
      <c r="E21" s="312"/>
      <c r="F21" s="313"/>
      <c r="G21" s="315"/>
      <c r="H21" s="312"/>
      <c r="I21" s="313"/>
      <c r="J21" s="315"/>
      <c r="K21" s="355"/>
      <c r="L21" s="356"/>
      <c r="M21" s="356"/>
      <c r="N21" s="356"/>
      <c r="O21" s="46"/>
      <c r="P21" s="318"/>
      <c r="Q21" s="319"/>
      <c r="R21" s="319"/>
      <c r="S21" s="319"/>
      <c r="T21" s="46"/>
      <c r="U21" s="322"/>
      <c r="V21" s="323"/>
      <c r="W21" s="45"/>
      <c r="X21" s="374"/>
      <c r="Y21" s="375"/>
      <c r="Z21" s="375"/>
      <c r="AA21" s="36"/>
      <c r="AB21" s="394"/>
      <c r="AC21" s="395"/>
      <c r="AD21" s="395"/>
      <c r="AE21" s="42"/>
      <c r="AJ21" s="378"/>
      <c r="AK21" s="379"/>
      <c r="AL21" s="361"/>
      <c r="AM21" s="381"/>
      <c r="AN21" s="360"/>
      <c r="AO21" s="361"/>
      <c r="AP21" s="280"/>
      <c r="AQ21" s="280"/>
      <c r="AR21" s="280"/>
      <c r="AS21" s="280"/>
      <c r="AT21" s="365"/>
      <c r="AU21" s="366"/>
      <c r="AV21" s="366"/>
      <c r="AW21" s="367"/>
      <c r="AX21" s="370"/>
      <c r="AY21" s="371"/>
      <c r="AZ21" s="371"/>
      <c r="BA21" s="371"/>
      <c r="BB21" s="76">
        <v>5</v>
      </c>
      <c r="BC21" s="344">
        <v>6600000</v>
      </c>
      <c r="BD21" s="345"/>
      <c r="BE21" s="346"/>
      <c r="BF21" s="82" t="s">
        <v>148</v>
      </c>
      <c r="BG21" s="344">
        <v>8499999</v>
      </c>
      <c r="BH21" s="345"/>
      <c r="BI21" s="346"/>
      <c r="BJ21" s="219" t="s">
        <v>151</v>
      </c>
      <c r="BK21" s="219"/>
      <c r="BL21" s="219"/>
      <c r="BM21" s="219"/>
      <c r="BN21" s="219"/>
      <c r="BO21" s="219"/>
      <c r="BP21" s="219"/>
      <c r="BQ21" s="219"/>
      <c r="BR21" s="239"/>
      <c r="BS21" s="280">
        <f>K18*0.9-1100000</f>
        <v>-1100000</v>
      </c>
      <c r="BT21" s="280"/>
      <c r="BU21" s="280"/>
      <c r="BV21" s="280">
        <f>K20*0.9-1100000</f>
        <v>-1100000</v>
      </c>
      <c r="BW21" s="280"/>
      <c r="BX21" s="280"/>
      <c r="BY21" s="280">
        <f>K22*0.9-1100000</f>
        <v>-1100000</v>
      </c>
      <c r="BZ21" s="280"/>
      <c r="CA21" s="280"/>
      <c r="CB21" s="280">
        <f>K24*0.9-1100000</f>
        <v>-1100000</v>
      </c>
      <c r="CC21" s="280"/>
      <c r="CD21" s="280"/>
      <c r="CE21" s="280">
        <f>K26*0.9-1100000</f>
        <v>-1100000</v>
      </c>
      <c r="CF21" s="280"/>
      <c r="CG21" s="281"/>
      <c r="CH21" s="81">
        <v>5</v>
      </c>
      <c r="CI21" s="284"/>
      <c r="CJ21" s="285"/>
      <c r="CK21" s="347">
        <f t="shared" si="0"/>
        <v>3300001</v>
      </c>
      <c r="CL21" s="347"/>
      <c r="CM21" s="347"/>
      <c r="CN21" s="90" t="s">
        <v>98</v>
      </c>
      <c r="CO21" s="348">
        <v>4100000</v>
      </c>
      <c r="CP21" s="348"/>
      <c r="CQ21" s="349"/>
      <c r="CR21" s="398" t="s">
        <v>92</v>
      </c>
      <c r="CS21" s="399"/>
      <c r="CT21" s="399"/>
      <c r="CU21" s="399"/>
      <c r="CV21" s="399"/>
      <c r="CW21" s="340">
        <f>P18*0.75-275000</f>
        <v>-275000</v>
      </c>
      <c r="CX21" s="341"/>
      <c r="CY21" s="342"/>
      <c r="CZ21" s="340">
        <f>P20*0.75-275000</f>
        <v>-275000</v>
      </c>
      <c r="DA21" s="341"/>
      <c r="DB21" s="342"/>
      <c r="DC21" s="340">
        <f>P22*0.75-275000</f>
        <v>-275000</v>
      </c>
      <c r="DD21" s="341"/>
      <c r="DE21" s="342"/>
      <c r="DF21" s="340">
        <f>P24*0.75-275000</f>
        <v>-275000</v>
      </c>
      <c r="DG21" s="341"/>
      <c r="DH21" s="342"/>
      <c r="DI21" s="340">
        <f>P26*0.75-275000</f>
        <v>-275000</v>
      </c>
      <c r="DJ21" s="341"/>
      <c r="DK21" s="343"/>
    </row>
    <row r="22" spans="2:127" ht="18" customHeight="1" thickBot="1" x14ac:dyDescent="0.2">
      <c r="B22" s="386" t="s">
        <v>26</v>
      </c>
      <c r="C22" s="387"/>
      <c r="D22" s="388"/>
      <c r="E22" s="353"/>
      <c r="F22" s="354"/>
      <c r="G22" s="352" t="s">
        <v>23</v>
      </c>
      <c r="H22" s="353"/>
      <c r="I22" s="354"/>
      <c r="J22" s="352" t="s">
        <v>23</v>
      </c>
      <c r="K22" s="357"/>
      <c r="L22" s="358"/>
      <c r="M22" s="358"/>
      <c r="N22" s="358"/>
      <c r="O22" s="43" t="s">
        <v>24</v>
      </c>
      <c r="P22" s="357"/>
      <c r="Q22" s="358"/>
      <c r="R22" s="358"/>
      <c r="S22" s="358"/>
      <c r="T22" s="43" t="s">
        <v>24</v>
      </c>
      <c r="U22" s="396"/>
      <c r="V22" s="397"/>
      <c r="W22" s="43" t="s">
        <v>24</v>
      </c>
      <c r="X22" s="391" t="str">
        <f>IF($E$22="","",SUM(AP22:BA23)-$AX$12)</f>
        <v/>
      </c>
      <c r="Y22" s="392"/>
      <c r="Z22" s="392"/>
      <c r="AA22" s="37" t="s">
        <v>24</v>
      </c>
      <c r="AB22" s="393" t="str">
        <f>IF(X22="","",IF(X22&lt;=430000,0,X22-430000))</f>
        <v/>
      </c>
      <c r="AC22" s="392"/>
      <c r="AD22" s="392"/>
      <c r="AE22" s="37" t="s">
        <v>24</v>
      </c>
      <c r="AJ22" s="378" t="str">
        <f>IF(K22="","",IF(K22&lt;BC18,1,IF(K22&lt;BC19,2,IF(K22&lt;BC20,3,IF(K22&lt;BC21,4,IF(K22&lt;BC22,5,IF(K22&lt;BC23,6,"")))))))</f>
        <v/>
      </c>
      <c r="AK22" s="379"/>
      <c r="AL22" s="361">
        <f>IF(AJ22="",AK22,AJ22)</f>
        <v>0</v>
      </c>
      <c r="AM22" s="380" t="str">
        <f t="shared" ref="AM22" si="1">IF(P22="","",IF(E22&lt;65,"",IF(E22&gt;=65,IF(P22&lt;=$CO$16,1,IF(P22&lt;=$CO$17,2,IF(P22&lt;=$CO$18,3,IF(P22&lt;=$CO$19,4,IF(P22&lt;=$CO$20,5,IF(P22&lt;=$CO$21,6,IF(P22&lt;=$CO$22,7,IF(P22&gt;=$CK$23,8,"")))))))))))</f>
        <v/>
      </c>
      <c r="AN22" s="359" t="str">
        <f>IF($P$21="","",IF($E$21-1&gt;=65,"",IF($E$21-1&lt;65,IF($P$21&lt;=$CO$24,9,IF($P$21&lt;=$CO$25,10,IF($P$21&lt;=$CO$26,11,IF($P$21&lt;=$CO$27,12,IF($P$21&lt;=$CO$28,13,IF($P$21&lt;=$CO$29,14,IF($P$21&lt;=$CO$30,15,IF($P$21&gt;=$CK$31,16,"")))))))))))</f>
        <v/>
      </c>
      <c r="AO22" s="361" t="str">
        <f>IF(AM22="",AN22,AM22)</f>
        <v/>
      </c>
      <c r="AP22" s="280" t="e">
        <f>IF(AL22="",0,VLOOKUP(AL22,BB17:CG27,24,0))</f>
        <v>#N/A</v>
      </c>
      <c r="AQ22" s="280"/>
      <c r="AR22" s="280"/>
      <c r="AS22" s="280"/>
      <c r="AT22" s="362" t="e">
        <f>IF((AP22+AX22)&lt;=10000000,'試算～1000'!AT22:AW23,IF(AND((AP22+AX22)&gt;10000000,(AP22+AX22)&lt;=20000000),'試算1000～2000'!AT22:AW23,IF((AP22+AX22)&gt;20000000,'試算2000～'!AT22:AW23,0)))</f>
        <v>#N/A</v>
      </c>
      <c r="AU22" s="363"/>
      <c r="AV22" s="363"/>
      <c r="AW22" s="364"/>
      <c r="AX22" s="368">
        <f>U22</f>
        <v>0</v>
      </c>
      <c r="AY22" s="369"/>
      <c r="AZ22" s="369"/>
      <c r="BA22" s="369"/>
      <c r="BB22" s="77">
        <v>6</v>
      </c>
      <c r="BC22" s="421">
        <v>8500000</v>
      </c>
      <c r="BD22" s="421"/>
      <c r="BE22" s="421"/>
      <c r="BF22" s="93" t="s">
        <v>148</v>
      </c>
      <c r="BG22" s="422"/>
      <c r="BH22" s="422"/>
      <c r="BI22" s="422"/>
      <c r="BJ22" s="421" t="s">
        <v>89</v>
      </c>
      <c r="BK22" s="421"/>
      <c r="BL22" s="421"/>
      <c r="BM22" s="421"/>
      <c r="BN22" s="421"/>
      <c r="BO22" s="421"/>
      <c r="BP22" s="421"/>
      <c r="BQ22" s="421"/>
      <c r="BR22" s="421"/>
      <c r="BS22" s="416">
        <f>K18-1950000</f>
        <v>-1950000</v>
      </c>
      <c r="BT22" s="417"/>
      <c r="BU22" s="417"/>
      <c r="BV22" s="416">
        <f>K20-1950000</f>
        <v>-1950000</v>
      </c>
      <c r="BW22" s="417"/>
      <c r="BX22" s="417"/>
      <c r="BY22" s="418">
        <f>K22-1950000</f>
        <v>-1950000</v>
      </c>
      <c r="BZ22" s="419"/>
      <c r="CA22" s="419"/>
      <c r="CB22" s="418">
        <f>K24-1950000</f>
        <v>-1950000</v>
      </c>
      <c r="CC22" s="419"/>
      <c r="CD22" s="419"/>
      <c r="CE22" s="418">
        <f>K26-1950000</f>
        <v>-1950000</v>
      </c>
      <c r="CF22" s="419"/>
      <c r="CG22" s="420"/>
      <c r="CH22" s="81">
        <v>6</v>
      </c>
      <c r="CI22" s="284"/>
      <c r="CJ22" s="285"/>
      <c r="CK22" s="347">
        <f t="shared" si="0"/>
        <v>4100001</v>
      </c>
      <c r="CL22" s="347"/>
      <c r="CM22" s="347"/>
      <c r="CN22" s="90" t="s">
        <v>98</v>
      </c>
      <c r="CO22" s="348">
        <v>7700000</v>
      </c>
      <c r="CP22" s="348"/>
      <c r="CQ22" s="349"/>
      <c r="CR22" s="398" t="s">
        <v>93</v>
      </c>
      <c r="CS22" s="399"/>
      <c r="CT22" s="399"/>
      <c r="CU22" s="399"/>
      <c r="CV22" s="399"/>
      <c r="CW22" s="340">
        <f>P18*0.85-685000</f>
        <v>-685000</v>
      </c>
      <c r="CX22" s="341"/>
      <c r="CY22" s="342"/>
      <c r="CZ22" s="340">
        <f>P20*0.85-685000</f>
        <v>-685000</v>
      </c>
      <c r="DA22" s="341"/>
      <c r="DB22" s="342"/>
      <c r="DC22" s="340">
        <f>P22*0.85-685000</f>
        <v>-685000</v>
      </c>
      <c r="DD22" s="341"/>
      <c r="DE22" s="342"/>
      <c r="DF22" s="340">
        <f>P24*0.85-685000</f>
        <v>-685000</v>
      </c>
      <c r="DG22" s="341"/>
      <c r="DH22" s="342"/>
      <c r="DI22" s="340">
        <f>P26*0.85-685000</f>
        <v>-685000</v>
      </c>
      <c r="DJ22" s="341"/>
      <c r="DK22" s="343"/>
    </row>
    <row r="23" spans="2:127" ht="18" customHeight="1" x14ac:dyDescent="0.15">
      <c r="B23" s="307"/>
      <c r="C23" s="308"/>
      <c r="D23" s="309"/>
      <c r="E23" s="312"/>
      <c r="F23" s="313"/>
      <c r="G23" s="315"/>
      <c r="H23" s="312"/>
      <c r="I23" s="313"/>
      <c r="J23" s="315"/>
      <c r="K23" s="355"/>
      <c r="L23" s="356"/>
      <c r="M23" s="356"/>
      <c r="N23" s="356"/>
      <c r="O23" s="46"/>
      <c r="P23" s="318"/>
      <c r="Q23" s="319"/>
      <c r="R23" s="319"/>
      <c r="S23" s="319"/>
      <c r="T23" s="46"/>
      <c r="U23" s="396"/>
      <c r="V23" s="397"/>
      <c r="W23" s="46"/>
      <c r="X23" s="374"/>
      <c r="Y23" s="375"/>
      <c r="Z23" s="375"/>
      <c r="AA23" s="36"/>
      <c r="AB23" s="394"/>
      <c r="AC23" s="395"/>
      <c r="AD23" s="395"/>
      <c r="AE23" s="42"/>
      <c r="AJ23" s="378"/>
      <c r="AK23" s="379"/>
      <c r="AL23" s="361"/>
      <c r="AM23" s="381"/>
      <c r="AN23" s="360"/>
      <c r="AO23" s="361"/>
      <c r="AP23" s="280"/>
      <c r="AQ23" s="280"/>
      <c r="AR23" s="280"/>
      <c r="AS23" s="280"/>
      <c r="AT23" s="365"/>
      <c r="AU23" s="366"/>
      <c r="AV23" s="366"/>
      <c r="AW23" s="367"/>
      <c r="AX23" s="370"/>
      <c r="AY23" s="371"/>
      <c r="AZ23" s="371"/>
      <c r="BA23" s="401"/>
      <c r="BB23" s="75">
        <v>7</v>
      </c>
      <c r="BC23" s="402"/>
      <c r="BD23" s="402"/>
      <c r="BE23" s="402"/>
      <c r="BF23" s="91"/>
      <c r="BG23" s="403"/>
      <c r="BH23" s="403"/>
      <c r="BI23" s="403"/>
      <c r="BJ23" s="403"/>
      <c r="BK23" s="403"/>
      <c r="BL23" s="403"/>
      <c r="BM23" s="403"/>
      <c r="BN23" s="403"/>
      <c r="BO23" s="403"/>
      <c r="BP23" s="403"/>
      <c r="BQ23" s="403"/>
      <c r="BR23" s="337"/>
      <c r="BS23" s="400"/>
      <c r="BT23" s="400"/>
      <c r="BU23" s="400"/>
      <c r="BV23" s="400"/>
      <c r="BW23" s="400"/>
      <c r="BX23" s="400"/>
      <c r="BY23" s="400"/>
      <c r="BZ23" s="400"/>
      <c r="CA23" s="400"/>
      <c r="CB23" s="400"/>
      <c r="CC23" s="400"/>
      <c r="CD23" s="400"/>
      <c r="CE23" s="400"/>
      <c r="CF23" s="400"/>
      <c r="CG23" s="400"/>
      <c r="CH23" s="81">
        <v>7</v>
      </c>
      <c r="CI23" s="284"/>
      <c r="CJ23" s="285"/>
      <c r="CK23" s="347">
        <f t="shared" si="0"/>
        <v>7700001</v>
      </c>
      <c r="CL23" s="347"/>
      <c r="CM23" s="347"/>
      <c r="CN23" s="90" t="s">
        <v>98</v>
      </c>
      <c r="CO23" s="348">
        <v>10000000</v>
      </c>
      <c r="CP23" s="348"/>
      <c r="CQ23" s="349"/>
      <c r="CR23" s="438" t="s">
        <v>94</v>
      </c>
      <c r="CS23" s="439"/>
      <c r="CT23" s="439"/>
      <c r="CU23" s="439"/>
      <c r="CV23" s="440"/>
      <c r="CW23" s="340">
        <f>P18*0.95-1455000</f>
        <v>-1455000</v>
      </c>
      <c r="CX23" s="341"/>
      <c r="CY23" s="342"/>
      <c r="CZ23" s="340">
        <f>P20*0.95-1455000</f>
        <v>-1455000</v>
      </c>
      <c r="DA23" s="341"/>
      <c r="DB23" s="342"/>
      <c r="DC23" s="340">
        <f>P22*0.95-1455000</f>
        <v>-1455000</v>
      </c>
      <c r="DD23" s="341"/>
      <c r="DE23" s="342"/>
      <c r="DF23" s="340">
        <f>P24*0.95-1455000</f>
        <v>-1455000</v>
      </c>
      <c r="DG23" s="341"/>
      <c r="DH23" s="342"/>
      <c r="DI23" s="340">
        <f>P26*0.95-1455000</f>
        <v>-1455000</v>
      </c>
      <c r="DJ23" s="341"/>
      <c r="DK23" s="343"/>
    </row>
    <row r="24" spans="2:127" ht="18" customHeight="1" thickBot="1" x14ac:dyDescent="0.2">
      <c r="B24" s="386" t="s">
        <v>27</v>
      </c>
      <c r="C24" s="387"/>
      <c r="D24" s="388"/>
      <c r="E24" s="353"/>
      <c r="F24" s="354"/>
      <c r="G24" s="352" t="s">
        <v>23</v>
      </c>
      <c r="H24" s="353"/>
      <c r="I24" s="354"/>
      <c r="J24" s="352" t="s">
        <v>23</v>
      </c>
      <c r="K24" s="357"/>
      <c r="L24" s="358"/>
      <c r="M24" s="358"/>
      <c r="N24" s="358"/>
      <c r="O24" s="43" t="s">
        <v>24</v>
      </c>
      <c r="P24" s="357"/>
      <c r="Q24" s="358"/>
      <c r="R24" s="358"/>
      <c r="S24" s="358"/>
      <c r="T24" s="43" t="s">
        <v>24</v>
      </c>
      <c r="U24" s="389"/>
      <c r="V24" s="390"/>
      <c r="W24" s="45" t="s">
        <v>24</v>
      </c>
      <c r="X24" s="391" t="str">
        <f>IF($E$24="","",SUM(AP24:BA25)-$AX$13)</f>
        <v/>
      </c>
      <c r="Y24" s="392"/>
      <c r="Z24" s="392"/>
      <c r="AA24" s="37" t="s">
        <v>24</v>
      </c>
      <c r="AB24" s="393" t="str">
        <f>IF(X24="","",IF(X24&lt;=430000,0,X24-430000))</f>
        <v/>
      </c>
      <c r="AC24" s="392"/>
      <c r="AD24" s="392"/>
      <c r="AE24" s="37" t="s">
        <v>24</v>
      </c>
      <c r="AJ24" s="378" t="str">
        <f>IF(K24="","",IF(K24&lt;BC18,1,IF(K24&lt;BC19,2,IF(K24&lt;BC20,3,IF(K24&lt;BC21,4,IF(K24&lt;BC22,5,IF(K24&lt;BC23,6,"")))))))</f>
        <v/>
      </c>
      <c r="AK24" s="379"/>
      <c r="AL24" s="361">
        <f>IF(AJ24="",AK24,AJ24)</f>
        <v>0</v>
      </c>
      <c r="AM24" s="380" t="str">
        <f t="shared" ref="AM24" si="2">IF(P24="","",IF(E24&lt;65,"",IF(E24&gt;=65,IF(P24&lt;=$CO$16,1,IF(P24&lt;=$CO$17,2,IF(P24&lt;=$CO$18,3,IF(P24&lt;=$CO$19,4,IF(P24&lt;=$CO$20,5,IF(P24&lt;=$CO$21,6,IF(P24&lt;=$CO$22,7,IF(P24&gt;=$CK$23,8,"")))))))))))</f>
        <v/>
      </c>
      <c r="AN24" s="359" t="str">
        <f>IF($P$23="","",IF($E$23-1&gt;=65,"",IF($E$23-1&lt;65,IF($P$23&lt;=$CO$24,9,IF($P$23&lt;=$CO$25,10,IF($P$23&lt;=$CO$26,11,IF($P$23&lt;=$CO$27,12,IF($P$23&lt;=$CO$28,13,IF($P$23&lt;=$CO$29,14,IF($P$23&lt;=$CO$30,15,IF($P$23&gt;=$CK$31,16,"")))))))))))</f>
        <v/>
      </c>
      <c r="AO24" s="361" t="str">
        <f>IF(AM24="",AN24,AM24)</f>
        <v/>
      </c>
      <c r="AP24" s="280" t="e">
        <f>IF(AL24="",0,VLOOKUP(AL24,BB17:CG27,27,0))</f>
        <v>#N/A</v>
      </c>
      <c r="AQ24" s="280"/>
      <c r="AR24" s="280"/>
      <c r="AS24" s="280"/>
      <c r="AT24" s="362" t="e">
        <f>IF((AP24+AX24)&lt;=10000000,'試算～1000'!AT24:AW25,IF(AND((AP24+AX24)&gt;10000000,(AP24+AX24)&lt;=20000000),'試算1000～2000'!AT24:AW25,IF((AP24+AX24)&gt;20000000,'試算2000～'!AT24:AW25,0)))</f>
        <v>#N/A</v>
      </c>
      <c r="AU24" s="363"/>
      <c r="AV24" s="363"/>
      <c r="AW24" s="364"/>
      <c r="AX24" s="368">
        <f>U24</f>
        <v>0</v>
      </c>
      <c r="AY24" s="369"/>
      <c r="AZ24" s="369"/>
      <c r="BA24" s="423"/>
      <c r="BB24" s="10">
        <v>8</v>
      </c>
      <c r="BC24" s="402"/>
      <c r="BD24" s="402"/>
      <c r="BE24" s="402"/>
      <c r="BF24" s="91"/>
      <c r="BG24" s="402"/>
      <c r="BH24" s="402"/>
      <c r="BI24" s="402"/>
      <c r="BJ24" s="219"/>
      <c r="BK24" s="219"/>
      <c r="BL24" s="219"/>
      <c r="BM24" s="219"/>
      <c r="BN24" s="219"/>
      <c r="BO24" s="219"/>
      <c r="BP24" s="219"/>
      <c r="BQ24" s="219"/>
      <c r="BR24" s="239"/>
      <c r="BS24" s="280"/>
      <c r="BT24" s="280"/>
      <c r="BU24" s="280"/>
      <c r="BV24" s="280"/>
      <c r="BW24" s="280"/>
      <c r="BX24" s="280"/>
      <c r="BY24" s="280"/>
      <c r="BZ24" s="280"/>
      <c r="CA24" s="280"/>
      <c r="CB24" s="280"/>
      <c r="CC24" s="280"/>
      <c r="CD24" s="280"/>
      <c r="CE24" s="280"/>
      <c r="CF24" s="280"/>
      <c r="CG24" s="280"/>
      <c r="CH24" s="94">
        <v>8</v>
      </c>
      <c r="CI24" s="286"/>
      <c r="CJ24" s="287"/>
      <c r="CK24" s="413">
        <f t="shared" si="0"/>
        <v>10000001</v>
      </c>
      <c r="CL24" s="413"/>
      <c r="CM24" s="413"/>
      <c r="CN24" s="92" t="s">
        <v>98</v>
      </c>
      <c r="CO24" s="414"/>
      <c r="CP24" s="414"/>
      <c r="CQ24" s="415"/>
      <c r="CR24" s="410" t="s">
        <v>96</v>
      </c>
      <c r="CS24" s="411"/>
      <c r="CT24" s="411"/>
      <c r="CU24" s="411"/>
      <c r="CV24" s="412"/>
      <c r="CW24" s="434">
        <f>P18-1955000</f>
        <v>-1955000</v>
      </c>
      <c r="CX24" s="435"/>
      <c r="CY24" s="436"/>
      <c r="CZ24" s="434">
        <f>P20-1955000</f>
        <v>-1955000</v>
      </c>
      <c r="DA24" s="435"/>
      <c r="DB24" s="436"/>
      <c r="DC24" s="434">
        <f>P22-1955000</f>
        <v>-1955000</v>
      </c>
      <c r="DD24" s="435"/>
      <c r="DE24" s="436"/>
      <c r="DF24" s="434">
        <f>P24-1955000</f>
        <v>-1955000</v>
      </c>
      <c r="DG24" s="435"/>
      <c r="DH24" s="436"/>
      <c r="DI24" s="434">
        <f>P26-1955000</f>
        <v>-1955000</v>
      </c>
      <c r="DJ24" s="435"/>
      <c r="DK24" s="437"/>
    </row>
    <row r="25" spans="2:127" ht="18" customHeight="1" x14ac:dyDescent="0.15">
      <c r="B25" s="307"/>
      <c r="C25" s="308"/>
      <c r="D25" s="309"/>
      <c r="E25" s="312"/>
      <c r="F25" s="313"/>
      <c r="G25" s="315"/>
      <c r="H25" s="312"/>
      <c r="I25" s="313"/>
      <c r="J25" s="315"/>
      <c r="K25" s="355"/>
      <c r="L25" s="356"/>
      <c r="M25" s="356"/>
      <c r="N25" s="356"/>
      <c r="O25" s="46"/>
      <c r="P25" s="318"/>
      <c r="Q25" s="319"/>
      <c r="R25" s="319"/>
      <c r="S25" s="319"/>
      <c r="T25" s="46"/>
      <c r="U25" s="396"/>
      <c r="V25" s="397"/>
      <c r="W25" s="45"/>
      <c r="X25" s="404"/>
      <c r="Y25" s="395"/>
      <c r="Z25" s="395"/>
      <c r="AA25" s="36"/>
      <c r="AB25" s="394"/>
      <c r="AC25" s="395"/>
      <c r="AD25" s="395"/>
      <c r="AE25" s="36"/>
      <c r="AJ25" s="378"/>
      <c r="AK25" s="379"/>
      <c r="AL25" s="361"/>
      <c r="AM25" s="381"/>
      <c r="AN25" s="360"/>
      <c r="AO25" s="361"/>
      <c r="AP25" s="280"/>
      <c r="AQ25" s="280"/>
      <c r="AR25" s="280"/>
      <c r="AS25" s="280"/>
      <c r="AT25" s="365"/>
      <c r="AU25" s="366"/>
      <c r="AV25" s="366"/>
      <c r="AW25" s="367"/>
      <c r="AX25" s="370"/>
      <c r="AY25" s="371"/>
      <c r="AZ25" s="371"/>
      <c r="BA25" s="401"/>
      <c r="BB25" s="10">
        <v>9</v>
      </c>
      <c r="BC25" s="279"/>
      <c r="BD25" s="279"/>
      <c r="BE25" s="279"/>
      <c r="BF25" s="82"/>
      <c r="BG25" s="279"/>
      <c r="BH25" s="279"/>
      <c r="BI25" s="279"/>
      <c r="BJ25" s="219"/>
      <c r="BK25" s="219"/>
      <c r="BL25" s="219"/>
      <c r="BM25" s="219"/>
      <c r="BN25" s="219"/>
      <c r="BO25" s="219"/>
      <c r="BP25" s="219"/>
      <c r="BQ25" s="219"/>
      <c r="BR25" s="239"/>
      <c r="BS25" s="280"/>
      <c r="BT25" s="280"/>
      <c r="BU25" s="280"/>
      <c r="BV25" s="280"/>
      <c r="BW25" s="280"/>
      <c r="BX25" s="280"/>
      <c r="BY25" s="280"/>
      <c r="BZ25" s="280"/>
      <c r="CA25" s="280"/>
      <c r="CB25" s="280"/>
      <c r="CC25" s="280"/>
      <c r="CD25" s="280"/>
      <c r="CE25" s="280"/>
      <c r="CF25" s="280"/>
      <c r="CG25" s="281"/>
      <c r="CH25" s="97">
        <v>9</v>
      </c>
      <c r="CI25" s="405">
        <v>64</v>
      </c>
      <c r="CJ25" s="406"/>
      <c r="CK25" s="409"/>
      <c r="CL25" s="347"/>
      <c r="CM25" s="347"/>
      <c r="CN25" s="90" t="s">
        <v>98</v>
      </c>
      <c r="CO25" s="433">
        <v>400000</v>
      </c>
      <c r="CP25" s="433"/>
      <c r="CQ25" s="433"/>
      <c r="CR25" s="327" t="s">
        <v>95</v>
      </c>
      <c r="CS25" s="328"/>
      <c r="CT25" s="328"/>
      <c r="CU25" s="328"/>
      <c r="CV25" s="328"/>
      <c r="CW25" s="300">
        <v>0</v>
      </c>
      <c r="CX25" s="301"/>
      <c r="CY25" s="302"/>
      <c r="CZ25" s="300">
        <v>0</v>
      </c>
      <c r="DA25" s="301"/>
      <c r="DB25" s="302"/>
      <c r="DC25" s="300">
        <v>0</v>
      </c>
      <c r="DD25" s="301"/>
      <c r="DE25" s="302"/>
      <c r="DF25" s="300">
        <v>0</v>
      </c>
      <c r="DG25" s="301"/>
      <c r="DH25" s="302"/>
      <c r="DI25" s="300">
        <v>0</v>
      </c>
      <c r="DJ25" s="301"/>
      <c r="DK25" s="303"/>
    </row>
    <row r="26" spans="2:127" ht="18" customHeight="1" x14ac:dyDescent="0.15">
      <c r="B26" s="386" t="s">
        <v>28</v>
      </c>
      <c r="C26" s="387"/>
      <c r="D26" s="388"/>
      <c r="E26" s="353"/>
      <c r="F26" s="354"/>
      <c r="G26" s="352" t="s">
        <v>23</v>
      </c>
      <c r="H26" s="353"/>
      <c r="I26" s="354"/>
      <c r="J26" s="352" t="s">
        <v>23</v>
      </c>
      <c r="K26" s="357"/>
      <c r="L26" s="358"/>
      <c r="M26" s="358"/>
      <c r="N26" s="358"/>
      <c r="O26" s="43" t="s">
        <v>24</v>
      </c>
      <c r="P26" s="357"/>
      <c r="Q26" s="358"/>
      <c r="R26" s="358"/>
      <c r="S26" s="358"/>
      <c r="T26" s="43" t="s">
        <v>24</v>
      </c>
      <c r="U26" s="389"/>
      <c r="V26" s="390"/>
      <c r="W26" s="43" t="s">
        <v>24</v>
      </c>
      <c r="X26" s="391" t="str">
        <f>IF($E$26="","",SUM(AP26:BA27)-$AX$14)</f>
        <v/>
      </c>
      <c r="Y26" s="392"/>
      <c r="Z26" s="392"/>
      <c r="AA26" s="37" t="s">
        <v>24</v>
      </c>
      <c r="AB26" s="377" t="str">
        <f>IF(X26="","",IF(X26&lt;=430000,0,X26-430000))</f>
        <v/>
      </c>
      <c r="AC26" s="375"/>
      <c r="AD26" s="375"/>
      <c r="AE26" s="42" t="s">
        <v>24</v>
      </c>
      <c r="AJ26" s="378" t="str">
        <f>IF(K26="","",IF(K26&lt;BC18,1,IF(K26&lt;BC19,2,IF(K26&lt;BC20,3,IF(K26&lt;BC21,4,IF(K26&lt;BC22,5,IF(K26&gt;=BC23,6,"")))))))</f>
        <v/>
      </c>
      <c r="AK26" s="379"/>
      <c r="AL26" s="361">
        <f>IF(AJ26="",AK26,AJ26)</f>
        <v>0</v>
      </c>
      <c r="AM26" s="380" t="str">
        <f t="shared" ref="AM26" si="3">IF(P26="","",IF(E26&lt;65,"",IF(E26&gt;=65,IF(P26&lt;=$CO$16,1,IF(P26&lt;=$CO$17,2,IF(P26&lt;=$CO$18,3,IF(P26&lt;=$CO$19,4,IF(P26&lt;=$CO$20,5,IF(P26&lt;=$CO$21,6,IF(P26&lt;=$CO$22,7,IF(P26&gt;=$CK$23,8,"")))))))))))</f>
        <v/>
      </c>
      <c r="AN26" s="359" t="str">
        <f>IF($P$25="","",IF($E$25-1&gt;=65,"",IF($E$25-1&lt;65,IF($P$25&lt;=$CO$24,9,IF($P$25&lt;=$CO$25,10,IF($P$25&lt;=$CO$26,11,IF($P$25&lt;=$CO$27,12,IF($P$25&lt;=$CO$28,13,IF($P$25&lt;=$CO$29,14,IF($P$25&lt;=$CO$30,15,IF($P$25&gt;=$CK$31,16,"")))))))))))</f>
        <v/>
      </c>
      <c r="AO26" s="361" t="str">
        <f>IF(AM26="",AN26,AM26)</f>
        <v/>
      </c>
      <c r="AP26" s="280" t="e">
        <f>IF(AL26="",0,VLOOKUP(AL26,BB17:CG27,30,0))</f>
        <v>#N/A</v>
      </c>
      <c r="AQ26" s="280"/>
      <c r="AR26" s="280"/>
      <c r="AS26" s="280"/>
      <c r="AT26" s="362" t="e">
        <f>IF((AP26+AX26)&lt;=10000000,'試算～1000'!AT26:AW27,IF(AND((AP26+AX26)&gt;10000000,(AP26+AX26)&lt;=20000000),'試算1000～2000'!AT26:AW27,IF((AP26+AX26)&gt;20000000,'試算2000～'!AT26:AW27,0)))</f>
        <v>#N/A</v>
      </c>
      <c r="AU26" s="363"/>
      <c r="AV26" s="363"/>
      <c r="AW26" s="364"/>
      <c r="AX26" s="368">
        <f>U26</f>
        <v>0</v>
      </c>
      <c r="AY26" s="369"/>
      <c r="AZ26" s="369"/>
      <c r="BA26" s="423"/>
      <c r="BB26" s="10">
        <v>10</v>
      </c>
      <c r="BC26" s="279"/>
      <c r="BD26" s="279"/>
      <c r="BE26" s="279"/>
      <c r="BF26" s="82"/>
      <c r="BG26" s="279"/>
      <c r="BH26" s="279"/>
      <c r="BI26" s="279"/>
      <c r="BJ26" s="219"/>
      <c r="BK26" s="219"/>
      <c r="BL26" s="219"/>
      <c r="BM26" s="219"/>
      <c r="BN26" s="219"/>
      <c r="BO26" s="219"/>
      <c r="BP26" s="219"/>
      <c r="BQ26" s="219"/>
      <c r="BR26" s="239"/>
      <c r="BS26" s="280"/>
      <c r="BT26" s="280"/>
      <c r="BU26" s="280"/>
      <c r="BV26" s="280"/>
      <c r="BW26" s="280"/>
      <c r="BX26" s="280"/>
      <c r="BY26" s="280"/>
      <c r="BZ26" s="280"/>
      <c r="CA26" s="280"/>
      <c r="CB26" s="280"/>
      <c r="CC26" s="280"/>
      <c r="CD26" s="280"/>
      <c r="CE26" s="280"/>
      <c r="CF26" s="280"/>
      <c r="CG26" s="281"/>
      <c r="CH26" s="81">
        <v>10</v>
      </c>
      <c r="CI26" s="405"/>
      <c r="CJ26" s="406"/>
      <c r="CK26" s="409">
        <f>CO25+1</f>
        <v>400001</v>
      </c>
      <c r="CL26" s="347"/>
      <c r="CM26" s="347"/>
      <c r="CN26" s="90" t="s">
        <v>98</v>
      </c>
      <c r="CO26" s="348">
        <v>500000</v>
      </c>
      <c r="CP26" s="348"/>
      <c r="CQ26" s="348"/>
      <c r="CR26" s="350" t="s">
        <v>95</v>
      </c>
      <c r="CS26" s="351"/>
      <c r="CT26" s="351"/>
      <c r="CU26" s="351"/>
      <c r="CV26" s="351"/>
      <c r="CW26" s="340">
        <v>0</v>
      </c>
      <c r="CX26" s="341"/>
      <c r="CY26" s="342"/>
      <c r="CZ26" s="340">
        <v>0</v>
      </c>
      <c r="DA26" s="341"/>
      <c r="DB26" s="342"/>
      <c r="DC26" s="340">
        <v>0</v>
      </c>
      <c r="DD26" s="341"/>
      <c r="DE26" s="342"/>
      <c r="DF26" s="340">
        <v>0</v>
      </c>
      <c r="DG26" s="341"/>
      <c r="DH26" s="342"/>
      <c r="DI26" s="340">
        <v>0</v>
      </c>
      <c r="DJ26" s="341"/>
      <c r="DK26" s="343"/>
    </row>
    <row r="27" spans="2:127" ht="18" customHeight="1" thickBot="1" x14ac:dyDescent="0.2">
      <c r="B27" s="462"/>
      <c r="C27" s="463"/>
      <c r="D27" s="464"/>
      <c r="E27" s="552"/>
      <c r="F27" s="553"/>
      <c r="G27" s="554"/>
      <c r="H27" s="552"/>
      <c r="I27" s="553"/>
      <c r="J27" s="554"/>
      <c r="K27" s="555"/>
      <c r="L27" s="556"/>
      <c r="M27" s="556"/>
      <c r="N27" s="556"/>
      <c r="O27" s="44"/>
      <c r="P27" s="555"/>
      <c r="Q27" s="556"/>
      <c r="R27" s="556"/>
      <c r="S27" s="556"/>
      <c r="T27" s="44"/>
      <c r="U27" s="557"/>
      <c r="V27" s="558"/>
      <c r="W27" s="44"/>
      <c r="X27" s="559"/>
      <c r="Y27" s="428"/>
      <c r="Z27" s="428"/>
      <c r="AA27" s="38"/>
      <c r="AB27" s="427"/>
      <c r="AC27" s="428"/>
      <c r="AD27" s="428"/>
      <c r="AE27" s="38"/>
      <c r="AJ27" s="429"/>
      <c r="AK27" s="430"/>
      <c r="AL27" s="431"/>
      <c r="AM27" s="381"/>
      <c r="AN27" s="432"/>
      <c r="AO27" s="431"/>
      <c r="AP27" s="461"/>
      <c r="AQ27" s="461"/>
      <c r="AR27" s="461"/>
      <c r="AS27" s="461"/>
      <c r="AT27" s="365"/>
      <c r="AU27" s="366"/>
      <c r="AV27" s="366"/>
      <c r="AW27" s="367"/>
      <c r="AX27" s="424"/>
      <c r="AY27" s="425"/>
      <c r="AZ27" s="425"/>
      <c r="BA27" s="426"/>
      <c r="BB27" s="39">
        <v>11</v>
      </c>
      <c r="BC27" s="421"/>
      <c r="BD27" s="421"/>
      <c r="BE27" s="421"/>
      <c r="BF27" s="93"/>
      <c r="BG27" s="422"/>
      <c r="BH27" s="422"/>
      <c r="BI27" s="422"/>
      <c r="BJ27" s="421"/>
      <c r="BK27" s="421"/>
      <c r="BL27" s="421"/>
      <c r="BM27" s="421"/>
      <c r="BN27" s="421"/>
      <c r="BO27" s="421"/>
      <c r="BP27" s="421"/>
      <c r="BQ27" s="421"/>
      <c r="BR27" s="421"/>
      <c r="BS27" s="416"/>
      <c r="BT27" s="417"/>
      <c r="BU27" s="417"/>
      <c r="BV27" s="416"/>
      <c r="BW27" s="417"/>
      <c r="BX27" s="417"/>
      <c r="BY27" s="418"/>
      <c r="BZ27" s="419"/>
      <c r="CA27" s="419"/>
      <c r="CB27" s="418"/>
      <c r="CC27" s="419"/>
      <c r="CD27" s="419"/>
      <c r="CE27" s="418"/>
      <c r="CF27" s="419"/>
      <c r="CG27" s="420"/>
      <c r="CH27" s="81">
        <v>11</v>
      </c>
      <c r="CI27" s="405"/>
      <c r="CJ27" s="406"/>
      <c r="CK27" s="409">
        <f t="shared" ref="CK27:CK32" si="4">CO26+1</f>
        <v>500001</v>
      </c>
      <c r="CL27" s="347"/>
      <c r="CM27" s="347"/>
      <c r="CN27" s="90" t="s">
        <v>98</v>
      </c>
      <c r="CO27" s="348">
        <v>600000</v>
      </c>
      <c r="CP27" s="348"/>
      <c r="CQ27" s="348"/>
      <c r="CR27" s="350" t="s">
        <v>95</v>
      </c>
      <c r="CS27" s="351"/>
      <c r="CT27" s="351"/>
      <c r="CU27" s="351"/>
      <c r="CV27" s="351"/>
      <c r="CW27" s="340">
        <v>0</v>
      </c>
      <c r="CX27" s="341"/>
      <c r="CY27" s="342"/>
      <c r="CZ27" s="340">
        <v>0</v>
      </c>
      <c r="DA27" s="341"/>
      <c r="DB27" s="342"/>
      <c r="DC27" s="340">
        <v>0</v>
      </c>
      <c r="DD27" s="341"/>
      <c r="DE27" s="342"/>
      <c r="DF27" s="340">
        <v>0</v>
      </c>
      <c r="DG27" s="341"/>
      <c r="DH27" s="342"/>
      <c r="DI27" s="340">
        <v>0</v>
      </c>
      <c r="DJ27" s="341"/>
      <c r="DK27" s="343"/>
    </row>
    <row r="28" spans="2:127" ht="18" customHeight="1" x14ac:dyDescent="0.15">
      <c r="AM28" s="96"/>
      <c r="AP28" s="459" t="e">
        <f>SUM(AP18:AP27)</f>
        <v>#N/A</v>
      </c>
      <c r="AQ28" s="459"/>
      <c r="AR28" s="459"/>
      <c r="AS28" s="459"/>
      <c r="AT28" s="459" t="e">
        <f>SUM(AT18:AT27)</f>
        <v>#N/A</v>
      </c>
      <c r="AU28" s="459"/>
      <c r="AV28" s="459"/>
      <c r="AW28" s="459"/>
      <c r="AX28" s="460">
        <f>SUM(AX18:AX27)</f>
        <v>0</v>
      </c>
      <c r="AY28" s="460"/>
      <c r="AZ28" s="460"/>
      <c r="BA28" s="460"/>
      <c r="BB28" s="13"/>
      <c r="BC28" s="29"/>
      <c r="BD28" s="29"/>
      <c r="BE28" s="29"/>
      <c r="BF28" s="95"/>
      <c r="BG28" s="95"/>
      <c r="BH28" s="95"/>
      <c r="BI28" s="95"/>
      <c r="BJ28" s="29"/>
      <c r="BK28" s="29"/>
      <c r="BL28" s="29"/>
      <c r="BM28" s="29"/>
      <c r="BN28" s="29"/>
      <c r="BO28" s="29"/>
      <c r="BP28" s="29"/>
      <c r="BQ28" s="29"/>
      <c r="BR28" s="29"/>
      <c r="BS28" s="30"/>
      <c r="BT28" s="31"/>
      <c r="BU28" s="31"/>
      <c r="BV28" s="30"/>
      <c r="BW28" s="31"/>
      <c r="BX28" s="31"/>
      <c r="BY28" s="32"/>
      <c r="BZ28" s="33"/>
      <c r="CA28" s="33"/>
      <c r="CB28" s="32"/>
      <c r="CC28" s="33"/>
      <c r="CD28" s="33"/>
      <c r="CE28" s="32"/>
      <c r="CF28" s="33"/>
      <c r="CG28" s="33"/>
      <c r="CH28" s="81">
        <v>12</v>
      </c>
      <c r="CI28" s="405"/>
      <c r="CJ28" s="406"/>
      <c r="CK28" s="409">
        <f t="shared" si="4"/>
        <v>600001</v>
      </c>
      <c r="CL28" s="347"/>
      <c r="CM28" s="347"/>
      <c r="CN28" s="90" t="s">
        <v>98</v>
      </c>
      <c r="CO28" s="348">
        <v>1300000</v>
      </c>
      <c r="CP28" s="348"/>
      <c r="CQ28" s="348"/>
      <c r="CR28" s="218" t="s">
        <v>97</v>
      </c>
      <c r="CS28" s="219"/>
      <c r="CT28" s="219"/>
      <c r="CU28" s="219"/>
      <c r="CV28" s="219"/>
      <c r="CW28" s="280">
        <f>IF($P$18-600000&gt;0,$P$18-600000,0)</f>
        <v>0</v>
      </c>
      <c r="CX28" s="280"/>
      <c r="CY28" s="280"/>
      <c r="CZ28" s="280">
        <f>IF(P20-600000&gt;0,P20-600000,0)</f>
        <v>0</v>
      </c>
      <c r="DA28" s="280"/>
      <c r="DB28" s="280"/>
      <c r="DC28" s="280">
        <f>IF(P22-600000&gt;0,P22-600000,0)</f>
        <v>0</v>
      </c>
      <c r="DD28" s="280"/>
      <c r="DE28" s="280"/>
      <c r="DF28" s="280">
        <f>IF(P24-600000&gt;0,P24-600000,0)</f>
        <v>0</v>
      </c>
      <c r="DG28" s="280"/>
      <c r="DH28" s="280"/>
      <c r="DI28" s="280">
        <f>IF(P26-600000&gt;0,P26-600000,0)</f>
        <v>0</v>
      </c>
      <c r="DJ28" s="280"/>
      <c r="DK28" s="281"/>
    </row>
    <row r="29" spans="2:127" ht="18.75" customHeight="1" thickBot="1" x14ac:dyDescent="0.2">
      <c r="B29" s="12" t="s">
        <v>29</v>
      </c>
      <c r="V29" s="101"/>
      <c r="W29" s="101"/>
      <c r="X29" s="101"/>
      <c r="Y29" s="101"/>
      <c r="Z29" s="101"/>
      <c r="CH29" s="81">
        <v>13</v>
      </c>
      <c r="CI29" s="405"/>
      <c r="CJ29" s="406"/>
      <c r="CK29" s="409">
        <f t="shared" si="4"/>
        <v>1300001</v>
      </c>
      <c r="CL29" s="347"/>
      <c r="CM29" s="347"/>
      <c r="CN29" s="90" t="s">
        <v>98</v>
      </c>
      <c r="CO29" s="348">
        <v>4100000</v>
      </c>
      <c r="CP29" s="348"/>
      <c r="CQ29" s="348"/>
      <c r="CR29" s="398" t="s">
        <v>92</v>
      </c>
      <c r="CS29" s="399"/>
      <c r="CT29" s="399"/>
      <c r="CU29" s="399"/>
      <c r="CV29" s="399"/>
      <c r="CW29" s="280">
        <f>P18*0.75-275000</f>
        <v>-275000</v>
      </c>
      <c r="CX29" s="280"/>
      <c r="CY29" s="280"/>
      <c r="CZ29" s="280">
        <f>P20*0.75-275000</f>
        <v>-275000</v>
      </c>
      <c r="DA29" s="280"/>
      <c r="DB29" s="280"/>
      <c r="DC29" s="280">
        <f>P22*0.75-275000</f>
        <v>-275000</v>
      </c>
      <c r="DD29" s="280"/>
      <c r="DE29" s="280"/>
      <c r="DF29" s="280">
        <f>P24*0.75-275000</f>
        <v>-275000</v>
      </c>
      <c r="DG29" s="280"/>
      <c r="DH29" s="280"/>
      <c r="DI29" s="280">
        <f>P26*0.75-275000</f>
        <v>-275000</v>
      </c>
      <c r="DJ29" s="280"/>
      <c r="DK29" s="281"/>
    </row>
    <row r="30" spans="2:127" ht="15" customHeight="1" x14ac:dyDescent="0.15">
      <c r="B30" s="181" t="s">
        <v>31</v>
      </c>
      <c r="C30" s="182"/>
      <c r="D30" s="182"/>
      <c r="E30" s="336"/>
      <c r="F30" s="442">
        <f>COUNTA(E18:E27)</f>
        <v>0</v>
      </c>
      <c r="G30" s="443"/>
      <c r="H30" s="446" t="s">
        <v>32</v>
      </c>
      <c r="I30" s="448" t="s">
        <v>33</v>
      </c>
      <c r="J30" s="449"/>
      <c r="K30" s="449"/>
      <c r="L30" s="449"/>
      <c r="M30" s="449"/>
      <c r="N30" s="450"/>
      <c r="O30" s="454">
        <f>SUM(AB18:AD27)</f>
        <v>0</v>
      </c>
      <c r="P30" s="455"/>
      <c r="Q30" s="455"/>
      <c r="R30" s="456"/>
      <c r="S30" s="446" t="s">
        <v>24</v>
      </c>
      <c r="T30" s="13"/>
      <c r="U30" s="13"/>
      <c r="V30" s="101"/>
      <c r="W30" s="101"/>
      <c r="X30" s="101"/>
      <c r="Y30" s="101"/>
      <c r="Z30" s="101"/>
      <c r="AA30" s="13"/>
      <c r="AB30" s="13"/>
      <c r="AC30" s="13"/>
      <c r="AD30" s="13"/>
      <c r="AE30" s="13"/>
      <c r="AF30" s="13"/>
      <c r="AV30" s="25"/>
      <c r="AW30" s="26"/>
      <c r="AX30" s="26"/>
      <c r="AY30" s="26"/>
      <c r="AZ30" s="26"/>
      <c r="BA30" s="26"/>
      <c r="BB30" s="28" t="s">
        <v>61</v>
      </c>
      <c r="BD30" s="25"/>
      <c r="BE30" s="27"/>
      <c r="BF30" s="27"/>
      <c r="BG30" s="27"/>
      <c r="BH30" s="27"/>
      <c r="BI30" s="27"/>
      <c r="BK30" s="27"/>
      <c r="CH30" s="81">
        <v>14</v>
      </c>
      <c r="CI30" s="405"/>
      <c r="CJ30" s="406"/>
      <c r="CK30" s="409">
        <f t="shared" si="4"/>
        <v>4100001</v>
      </c>
      <c r="CL30" s="347"/>
      <c r="CM30" s="347"/>
      <c r="CN30" s="90" t="s">
        <v>98</v>
      </c>
      <c r="CO30" s="348">
        <v>7700000</v>
      </c>
      <c r="CP30" s="348"/>
      <c r="CQ30" s="348"/>
      <c r="CR30" s="398" t="s">
        <v>93</v>
      </c>
      <c r="CS30" s="399"/>
      <c r="CT30" s="399"/>
      <c r="CU30" s="399"/>
      <c r="CV30" s="399"/>
      <c r="CW30" s="280">
        <f>P18*0.85-685000</f>
        <v>-685000</v>
      </c>
      <c r="CX30" s="280"/>
      <c r="CY30" s="280"/>
      <c r="CZ30" s="280">
        <f>P20*0.85-685000</f>
        <v>-685000</v>
      </c>
      <c r="DA30" s="280"/>
      <c r="DB30" s="280"/>
      <c r="DC30" s="280">
        <f>P22*0.85-685000</f>
        <v>-685000</v>
      </c>
      <c r="DD30" s="280"/>
      <c r="DE30" s="280"/>
      <c r="DF30" s="280">
        <f>P24*0.85-685000</f>
        <v>-685000</v>
      </c>
      <c r="DG30" s="280"/>
      <c r="DH30" s="280"/>
      <c r="DI30" s="280">
        <f>P26*0.85-685000</f>
        <v>-685000</v>
      </c>
      <c r="DJ30" s="280"/>
      <c r="DK30" s="281"/>
    </row>
    <row r="31" spans="2:127" ht="12" customHeight="1" thickBot="1" x14ac:dyDescent="0.2">
      <c r="B31" s="184"/>
      <c r="C31" s="185"/>
      <c r="D31" s="185"/>
      <c r="E31" s="441"/>
      <c r="F31" s="444"/>
      <c r="G31" s="445"/>
      <c r="H31" s="447"/>
      <c r="I31" s="451"/>
      <c r="J31" s="452"/>
      <c r="K31" s="452"/>
      <c r="L31" s="452"/>
      <c r="M31" s="452"/>
      <c r="N31" s="453"/>
      <c r="O31" s="457"/>
      <c r="P31" s="457"/>
      <c r="Q31" s="457"/>
      <c r="R31" s="458"/>
      <c r="S31" s="447"/>
      <c r="T31" s="13"/>
      <c r="U31" s="13"/>
      <c r="V31" s="101"/>
      <c r="W31" s="101"/>
      <c r="X31" s="101"/>
      <c r="Y31" s="101"/>
      <c r="Z31" s="101"/>
      <c r="AA31" s="13"/>
      <c r="AB31" s="13"/>
      <c r="AC31" s="13"/>
      <c r="AD31" s="13"/>
      <c r="AE31" s="13"/>
      <c r="AF31" s="13"/>
      <c r="AV31" s="25"/>
      <c r="AW31" s="26"/>
      <c r="AX31" s="26"/>
      <c r="AY31" s="26"/>
      <c r="AZ31" s="26"/>
      <c r="BA31" s="26"/>
      <c r="BB31" s="26"/>
      <c r="BC31" s="26"/>
      <c r="BD31" s="23"/>
      <c r="BE31" s="24"/>
      <c r="BF31" s="24"/>
      <c r="BG31" s="24"/>
      <c r="BH31" s="24"/>
      <c r="BI31" s="24"/>
      <c r="BJ31" s="24"/>
      <c r="BK31" s="24"/>
      <c r="CH31" s="81">
        <v>15</v>
      </c>
      <c r="CI31" s="405"/>
      <c r="CJ31" s="406"/>
      <c r="CK31" s="409">
        <f t="shared" si="4"/>
        <v>7700001</v>
      </c>
      <c r="CL31" s="347"/>
      <c r="CM31" s="347"/>
      <c r="CN31" s="90" t="s">
        <v>98</v>
      </c>
      <c r="CO31" s="348">
        <v>10000000</v>
      </c>
      <c r="CP31" s="348"/>
      <c r="CQ31" s="348"/>
      <c r="CR31" s="398" t="s">
        <v>94</v>
      </c>
      <c r="CS31" s="399"/>
      <c r="CT31" s="399"/>
      <c r="CU31" s="399"/>
      <c r="CV31" s="399"/>
      <c r="CW31" s="280">
        <f>P18*0.95-1455000</f>
        <v>-1455000</v>
      </c>
      <c r="CX31" s="280"/>
      <c r="CY31" s="280"/>
      <c r="CZ31" s="280">
        <f>P20*0.95-1455000</f>
        <v>-1455000</v>
      </c>
      <c r="DA31" s="280"/>
      <c r="DB31" s="280"/>
      <c r="DC31" s="280">
        <f>P22*0.95-1455000</f>
        <v>-1455000</v>
      </c>
      <c r="DD31" s="280"/>
      <c r="DE31" s="280"/>
      <c r="DF31" s="280">
        <f>P24*0.95-1455000</f>
        <v>-1455000</v>
      </c>
      <c r="DG31" s="280"/>
      <c r="DH31" s="280"/>
      <c r="DI31" s="280">
        <f>P26*0.95-1455000</f>
        <v>-1455000</v>
      </c>
      <c r="DJ31" s="280"/>
      <c r="DK31" s="281"/>
    </row>
    <row r="32" spans="2:127" ht="14.25" customHeight="1" thickBot="1" x14ac:dyDescent="0.2">
      <c r="V32" s="551"/>
      <c r="W32" s="551"/>
      <c r="X32" s="551"/>
      <c r="Y32" s="551"/>
      <c r="Z32" s="551"/>
      <c r="AS32" s="480" t="s">
        <v>30</v>
      </c>
      <c r="AT32" s="481"/>
      <c r="AU32" s="481"/>
      <c r="AV32" s="481"/>
      <c r="AW32" s="481"/>
      <c r="AX32" s="481"/>
      <c r="AY32" s="481"/>
      <c r="AZ32" s="481"/>
      <c r="BA32" s="481"/>
      <c r="BB32" s="481"/>
      <c r="BC32" s="482"/>
      <c r="BD32" s="483">
        <v>8</v>
      </c>
      <c r="BE32" s="484"/>
      <c r="BF32" s="484"/>
      <c r="BG32" s="484"/>
      <c r="BH32" s="484"/>
      <c r="BI32" s="484"/>
      <c r="BJ32" s="484"/>
      <c r="BK32" s="485"/>
      <c r="CH32" s="94">
        <v>16</v>
      </c>
      <c r="CI32" s="407"/>
      <c r="CJ32" s="408"/>
      <c r="CK32" s="486">
        <f t="shared" si="4"/>
        <v>10000001</v>
      </c>
      <c r="CL32" s="413"/>
      <c r="CM32" s="413"/>
      <c r="CN32" s="92" t="s">
        <v>98</v>
      </c>
      <c r="CO32" s="414"/>
      <c r="CP32" s="414"/>
      <c r="CQ32" s="414"/>
      <c r="CR32" s="184" t="s">
        <v>96</v>
      </c>
      <c r="CS32" s="185"/>
      <c r="CT32" s="185"/>
      <c r="CU32" s="185"/>
      <c r="CV32" s="441"/>
      <c r="CW32" s="424">
        <f>P18-1955000</f>
        <v>-1955000</v>
      </c>
      <c r="CX32" s="425"/>
      <c r="CY32" s="426"/>
      <c r="CZ32" s="424">
        <f>P20-1955000</f>
        <v>-1955000</v>
      </c>
      <c r="DA32" s="425"/>
      <c r="DB32" s="426"/>
      <c r="DC32" s="424">
        <f>P22-1955000</f>
        <v>-1955000</v>
      </c>
      <c r="DD32" s="425"/>
      <c r="DE32" s="426"/>
      <c r="DF32" s="424">
        <f>P24-1955000</f>
        <v>-1955000</v>
      </c>
      <c r="DG32" s="425"/>
      <c r="DH32" s="426"/>
      <c r="DI32" s="424">
        <f>P26-1955000</f>
        <v>-1955000</v>
      </c>
      <c r="DJ32" s="425"/>
      <c r="DK32" s="465"/>
    </row>
    <row r="33" spans="2:97" ht="27" customHeight="1" thickBot="1" x14ac:dyDescent="0.2">
      <c r="B33" s="12" t="str">
        <f>"国民健康保険税の算定方法（令和"&amp;BD32&amp;"年度）"</f>
        <v>国民健康保険税の算定方法（令和8年度）</v>
      </c>
      <c r="AJ33" s="466" t="s">
        <v>34</v>
      </c>
      <c r="AK33" s="466"/>
      <c r="AL33" s="466"/>
      <c r="AM33" s="466" t="s">
        <v>35</v>
      </c>
      <c r="AN33" s="466"/>
      <c r="AO33" s="466"/>
      <c r="AP33" s="467"/>
      <c r="AQ33" s="468"/>
      <c r="AR33" s="469"/>
      <c r="AS33" s="239" t="s">
        <v>36</v>
      </c>
      <c r="AT33" s="240"/>
      <c r="AU33" s="240"/>
      <c r="AV33" s="240"/>
      <c r="AW33" s="240"/>
      <c r="AX33" s="240"/>
      <c r="AY33" s="240"/>
      <c r="AZ33" s="240"/>
      <c r="BA33" s="240"/>
      <c r="BB33" s="240"/>
      <c r="BC33" s="240"/>
      <c r="BD33" s="240"/>
      <c r="BE33" s="240"/>
      <c r="BF33" s="240"/>
      <c r="BG33" s="240"/>
      <c r="BH33" s="241"/>
      <c r="CH33" s="96"/>
      <c r="CI33" s="96"/>
      <c r="CJ33" s="96"/>
      <c r="CK33" s="13"/>
      <c r="CL33" s="13"/>
      <c r="CR33" s="13"/>
      <c r="CS33" s="13"/>
    </row>
    <row r="34" spans="2:97" ht="18.75" customHeight="1" x14ac:dyDescent="0.15">
      <c r="B34" s="181"/>
      <c r="C34" s="182"/>
      <c r="D34" s="182"/>
      <c r="E34" s="182"/>
      <c r="F34" s="182"/>
      <c r="G34" s="182"/>
      <c r="H34" s="182"/>
      <c r="I34" s="182"/>
      <c r="J34" s="182"/>
      <c r="K34" s="182"/>
      <c r="L34" s="182"/>
      <c r="M34" s="182"/>
      <c r="N34" s="182"/>
      <c r="O34" s="183"/>
      <c r="P34" s="68"/>
      <c r="Q34" s="242" t="s">
        <v>36</v>
      </c>
      <c r="R34" s="242"/>
      <c r="S34" s="242"/>
      <c r="T34" s="242"/>
      <c r="U34" s="242"/>
      <c r="V34" s="242"/>
      <c r="W34" s="242"/>
      <c r="X34" s="242"/>
      <c r="Y34" s="242"/>
      <c r="Z34" s="242"/>
      <c r="AA34" s="242"/>
      <c r="AB34" s="242"/>
      <c r="AC34" s="242"/>
      <c r="AD34" s="243"/>
      <c r="AE34" s="95"/>
      <c r="AF34" s="95"/>
      <c r="AJ34" s="466"/>
      <c r="AK34" s="466"/>
      <c r="AL34" s="466"/>
      <c r="AM34" s="466"/>
      <c r="AN34" s="466"/>
      <c r="AO34" s="466"/>
      <c r="AP34" s="470"/>
      <c r="AQ34" s="471"/>
      <c r="AR34" s="472"/>
      <c r="AS34" s="219" t="s">
        <v>37</v>
      </c>
      <c r="AT34" s="219"/>
      <c r="AU34" s="219"/>
      <c r="AV34" s="219"/>
      <c r="AW34" s="239" t="s">
        <v>38</v>
      </c>
      <c r="AX34" s="240"/>
      <c r="AY34" s="240"/>
      <c r="AZ34" s="240"/>
      <c r="BA34" s="239" t="s">
        <v>126</v>
      </c>
      <c r="BB34" s="240"/>
      <c r="BC34" s="240"/>
      <c r="BD34" s="241"/>
      <c r="BE34" s="239" t="s">
        <v>127</v>
      </c>
      <c r="BF34" s="240"/>
      <c r="BG34" s="240"/>
      <c r="BH34" s="241"/>
      <c r="BM34" s="219" t="s">
        <v>70</v>
      </c>
      <c r="BN34" s="219"/>
      <c r="BO34" s="219"/>
      <c r="BP34" s="219"/>
      <c r="BQ34" s="473" t="s">
        <v>72</v>
      </c>
      <c r="BR34" s="473"/>
      <c r="BS34" s="473"/>
      <c r="BT34" s="473"/>
      <c r="BU34" s="473"/>
      <c r="BV34" s="473"/>
      <c r="BW34" s="473"/>
      <c r="BX34" s="496" t="s">
        <v>73</v>
      </c>
      <c r="BY34" s="496"/>
      <c r="BZ34" s="496"/>
      <c r="CA34" s="252">
        <v>430000</v>
      </c>
      <c r="CB34" s="252"/>
      <c r="CC34" s="252"/>
    </row>
    <row r="35" spans="2:97" ht="30" customHeight="1" thickBot="1" x14ac:dyDescent="0.2">
      <c r="B35" s="184"/>
      <c r="C35" s="185"/>
      <c r="D35" s="185"/>
      <c r="E35" s="185"/>
      <c r="F35" s="185"/>
      <c r="G35" s="185"/>
      <c r="H35" s="185"/>
      <c r="I35" s="185"/>
      <c r="J35" s="185"/>
      <c r="K35" s="185"/>
      <c r="L35" s="185"/>
      <c r="M35" s="185"/>
      <c r="N35" s="185"/>
      <c r="O35" s="186"/>
      <c r="P35" s="187" t="s">
        <v>37</v>
      </c>
      <c r="Q35" s="188"/>
      <c r="R35" s="188"/>
      <c r="S35" s="188"/>
      <c r="T35" s="189" t="s">
        <v>38</v>
      </c>
      <c r="U35" s="190"/>
      <c r="V35" s="190"/>
      <c r="W35" s="191"/>
      <c r="X35" s="244" t="s">
        <v>130</v>
      </c>
      <c r="Y35" s="190"/>
      <c r="Z35" s="191"/>
      <c r="AA35" s="245" t="s">
        <v>164</v>
      </c>
      <c r="AB35" s="246"/>
      <c r="AC35" s="246"/>
      <c r="AD35" s="247"/>
      <c r="AJ35" s="361">
        <f>IF(AND(40&lt;=H18,H18&lt;=64),1,0)</f>
        <v>0</v>
      </c>
      <c r="AK35" s="361"/>
      <c r="AL35" s="361"/>
      <c r="AM35" s="490">
        <f>IF(AJ35=0,0,AB18)</f>
        <v>0</v>
      </c>
      <c r="AN35" s="491"/>
      <c r="AO35" s="492"/>
      <c r="AP35" s="219" t="s">
        <v>40</v>
      </c>
      <c r="AQ35" s="219"/>
      <c r="AR35" s="219"/>
      <c r="AS35" s="227">
        <v>7.4899999999999994E-2</v>
      </c>
      <c r="AT35" s="228"/>
      <c r="AU35" s="228"/>
      <c r="AV35" s="229"/>
      <c r="AW35" s="227">
        <v>2.4899999999999999E-2</v>
      </c>
      <c r="AX35" s="228"/>
      <c r="AY35" s="228"/>
      <c r="AZ35" s="229"/>
      <c r="BA35" s="474">
        <v>2.8999999999999998E-3</v>
      </c>
      <c r="BB35" s="475"/>
      <c r="BC35" s="475"/>
      <c r="BD35" s="476"/>
      <c r="BE35" s="227">
        <v>2.1700000000000001E-2</v>
      </c>
      <c r="BF35" s="228"/>
      <c r="BG35" s="228"/>
      <c r="BH35" s="229"/>
      <c r="BM35" s="219"/>
      <c r="BN35" s="219"/>
      <c r="BO35" s="219"/>
      <c r="BP35" s="219"/>
      <c r="BQ35" s="473"/>
      <c r="BR35" s="473"/>
      <c r="BS35" s="473"/>
      <c r="BT35" s="473"/>
      <c r="BU35" s="473"/>
      <c r="BV35" s="473"/>
      <c r="BW35" s="473"/>
      <c r="BX35" s="496"/>
      <c r="BY35" s="496"/>
      <c r="BZ35" s="496"/>
      <c r="CA35" s="252"/>
      <c r="CB35" s="252"/>
      <c r="CC35" s="252"/>
    </row>
    <row r="36" spans="2:97" ht="20.25" customHeight="1" x14ac:dyDescent="0.15">
      <c r="B36" s="216" t="s">
        <v>55</v>
      </c>
      <c r="C36" s="217"/>
      <c r="D36" s="217"/>
      <c r="E36" s="171" t="s">
        <v>122</v>
      </c>
      <c r="F36" s="104"/>
      <c r="G36" s="104"/>
      <c r="H36" s="172"/>
      <c r="I36" s="171" t="s">
        <v>124</v>
      </c>
      <c r="J36" s="104"/>
      <c r="K36" s="104"/>
      <c r="L36" s="104"/>
      <c r="M36" s="104"/>
      <c r="N36" s="104"/>
      <c r="O36" s="69"/>
      <c r="P36" s="192">
        <f>AS35</f>
        <v>7.4899999999999994E-2</v>
      </c>
      <c r="Q36" s="193"/>
      <c r="R36" s="193"/>
      <c r="S36" s="194"/>
      <c r="T36" s="210">
        <f>AW35</f>
        <v>2.4899999999999999E-2</v>
      </c>
      <c r="U36" s="193"/>
      <c r="V36" s="193"/>
      <c r="W36" s="194"/>
      <c r="X36" s="210">
        <f>BA35</f>
        <v>2.8999999999999998E-3</v>
      </c>
      <c r="Y36" s="193"/>
      <c r="Z36" s="194"/>
      <c r="AA36" s="210">
        <f>BE35</f>
        <v>2.1700000000000001E-2</v>
      </c>
      <c r="AB36" s="193"/>
      <c r="AC36" s="193"/>
      <c r="AD36" s="513"/>
      <c r="AJ36" s="361"/>
      <c r="AK36" s="361"/>
      <c r="AL36" s="361"/>
      <c r="AM36" s="493"/>
      <c r="AN36" s="494"/>
      <c r="AO36" s="495"/>
      <c r="AP36" s="219"/>
      <c r="AQ36" s="219"/>
      <c r="AR36" s="219"/>
      <c r="AS36" s="230"/>
      <c r="AT36" s="231"/>
      <c r="AU36" s="231"/>
      <c r="AV36" s="232"/>
      <c r="AW36" s="230"/>
      <c r="AX36" s="231"/>
      <c r="AY36" s="231"/>
      <c r="AZ36" s="232"/>
      <c r="BA36" s="477"/>
      <c r="BB36" s="478"/>
      <c r="BC36" s="478"/>
      <c r="BD36" s="479"/>
      <c r="BE36" s="230"/>
      <c r="BF36" s="231"/>
      <c r="BG36" s="231"/>
      <c r="BH36" s="232"/>
      <c r="BM36" s="219"/>
      <c r="BN36" s="219"/>
      <c r="BO36" s="219"/>
      <c r="BP36" s="219"/>
      <c r="BQ36" s="473"/>
      <c r="BR36" s="473"/>
      <c r="BS36" s="473"/>
      <c r="BT36" s="473"/>
      <c r="BU36" s="473"/>
      <c r="BV36" s="473"/>
      <c r="BW36" s="473"/>
      <c r="BX36" s="496"/>
      <c r="BY36" s="496"/>
      <c r="BZ36" s="496"/>
      <c r="CA36" s="252"/>
      <c r="CB36" s="252"/>
      <c r="CC36" s="252"/>
    </row>
    <row r="37" spans="2:97" ht="20.25" customHeight="1" x14ac:dyDescent="0.15">
      <c r="B37" s="218"/>
      <c r="C37" s="219"/>
      <c r="D37" s="219"/>
      <c r="E37" s="173"/>
      <c r="F37" s="174"/>
      <c r="G37" s="174"/>
      <c r="H37" s="175"/>
      <c r="I37" s="173"/>
      <c r="J37" s="174"/>
      <c r="K37" s="174"/>
      <c r="L37" s="174"/>
      <c r="M37" s="174"/>
      <c r="N37" s="174"/>
      <c r="O37" s="70"/>
      <c r="P37" s="195"/>
      <c r="Q37" s="196"/>
      <c r="R37" s="196"/>
      <c r="S37" s="197"/>
      <c r="T37" s="211"/>
      <c r="U37" s="196"/>
      <c r="V37" s="196"/>
      <c r="W37" s="197"/>
      <c r="X37" s="211"/>
      <c r="Y37" s="196"/>
      <c r="Z37" s="197"/>
      <c r="AA37" s="211"/>
      <c r="AB37" s="196"/>
      <c r="AC37" s="196"/>
      <c r="AD37" s="514"/>
      <c r="AJ37" s="361">
        <f>IF(AND(40&lt;=H20,H20&lt;=64),1,0)</f>
        <v>0</v>
      </c>
      <c r="AK37" s="361"/>
      <c r="AL37" s="361"/>
      <c r="AM37" s="490">
        <f>IF(AJ37=0,0,AB20)</f>
        <v>0</v>
      </c>
      <c r="AN37" s="491"/>
      <c r="AO37" s="492"/>
      <c r="AP37" s="219" t="s">
        <v>43</v>
      </c>
      <c r="AQ37" s="219"/>
      <c r="AR37" s="219"/>
      <c r="AS37" s="501">
        <v>31800</v>
      </c>
      <c r="AT37" s="226"/>
      <c r="AU37" s="226"/>
      <c r="AV37" s="226"/>
      <c r="AW37" s="233">
        <v>10900</v>
      </c>
      <c r="AX37" s="234"/>
      <c r="AY37" s="234"/>
      <c r="AZ37" s="235"/>
      <c r="BA37" s="474">
        <v>1400</v>
      </c>
      <c r="BB37" s="475"/>
      <c r="BC37" s="475"/>
      <c r="BD37" s="476"/>
      <c r="BE37" s="233">
        <v>11400</v>
      </c>
      <c r="BF37" s="234"/>
      <c r="BG37" s="234"/>
      <c r="BH37" s="235"/>
      <c r="BM37" s="219" t="s">
        <v>69</v>
      </c>
      <c r="BN37" s="219"/>
      <c r="BO37" s="219"/>
      <c r="BP37" s="219"/>
      <c r="BQ37" s="473" t="s">
        <v>76</v>
      </c>
      <c r="BR37" s="473" t="s">
        <v>67</v>
      </c>
      <c r="BS37" s="473" t="s">
        <v>67</v>
      </c>
      <c r="BT37" s="473" t="s">
        <v>67</v>
      </c>
      <c r="BU37" s="473" t="s">
        <v>67</v>
      </c>
      <c r="BV37" s="473" t="s">
        <v>67</v>
      </c>
      <c r="BW37" s="473" t="s">
        <v>67</v>
      </c>
      <c r="BX37" s="496" t="s">
        <v>74</v>
      </c>
      <c r="BY37" s="496"/>
      <c r="BZ37" s="496"/>
      <c r="CA37" s="252">
        <v>290000</v>
      </c>
      <c r="CB37" s="252"/>
      <c r="CC37" s="252"/>
    </row>
    <row r="38" spans="2:97" ht="20.25" customHeight="1" x14ac:dyDescent="0.15">
      <c r="B38" s="218" t="s">
        <v>56</v>
      </c>
      <c r="C38" s="219"/>
      <c r="D38" s="219"/>
      <c r="E38" s="176" t="s">
        <v>45</v>
      </c>
      <c r="F38" s="177"/>
      <c r="G38" s="177"/>
      <c r="H38" s="178"/>
      <c r="I38" s="176" t="s">
        <v>46</v>
      </c>
      <c r="J38" s="177"/>
      <c r="K38" s="177"/>
      <c r="L38" s="177"/>
      <c r="M38" s="177"/>
      <c r="N38" s="177"/>
      <c r="O38" s="179"/>
      <c r="P38" s="198" t="str">
        <f>FIXED(AS37,0,FALSE)&amp;"円"&amp;CHAR(10)&amp;"×加入者数"</f>
        <v>31,800円
×加入者数</v>
      </c>
      <c r="Q38" s="199"/>
      <c r="R38" s="199"/>
      <c r="S38" s="200"/>
      <c r="T38" s="212" t="str">
        <f>FIXED(AW37,0,FALSE)&amp;"円"&amp;CHAR(10)&amp;"×加入者数"</f>
        <v>10,900円
×加入者数</v>
      </c>
      <c r="U38" s="199"/>
      <c r="V38" s="199"/>
      <c r="W38" s="200"/>
      <c r="X38" s="212" t="str">
        <f>FIXED(BA37,0,FALSE)&amp;"円"&amp;CHAR(10)&amp;"×加入者数"</f>
        <v>1,400円
×加入者数</v>
      </c>
      <c r="Y38" s="199"/>
      <c r="Z38" s="200"/>
      <c r="AA38" s="212" t="str">
        <f>FIXED(BE37,0,FALSE)&amp;"円"&amp;CHAR(10)&amp;"×加入者数"</f>
        <v>11,400円
×加入者数</v>
      </c>
      <c r="AB38" s="199"/>
      <c r="AC38" s="199"/>
      <c r="AD38" s="515"/>
      <c r="AJ38" s="361"/>
      <c r="AK38" s="361"/>
      <c r="AL38" s="361"/>
      <c r="AM38" s="493"/>
      <c r="AN38" s="494"/>
      <c r="AO38" s="495"/>
      <c r="AP38" s="219"/>
      <c r="AQ38" s="219"/>
      <c r="AR38" s="219"/>
      <c r="AS38" s="226"/>
      <c r="AT38" s="226"/>
      <c r="AU38" s="226"/>
      <c r="AV38" s="226"/>
      <c r="AW38" s="236"/>
      <c r="AX38" s="237"/>
      <c r="AY38" s="237"/>
      <c r="AZ38" s="238"/>
      <c r="BA38" s="477"/>
      <c r="BB38" s="478"/>
      <c r="BC38" s="478"/>
      <c r="BD38" s="479"/>
      <c r="BE38" s="236"/>
      <c r="BF38" s="237"/>
      <c r="BG38" s="237"/>
      <c r="BH38" s="238"/>
      <c r="BM38" s="219"/>
      <c r="BN38" s="219"/>
      <c r="BO38" s="219"/>
      <c r="BP38" s="219"/>
      <c r="BQ38" s="473"/>
      <c r="BR38" s="473"/>
      <c r="BS38" s="473"/>
      <c r="BT38" s="473"/>
      <c r="BU38" s="473"/>
      <c r="BV38" s="473"/>
      <c r="BW38" s="473"/>
      <c r="BX38" s="496"/>
      <c r="BY38" s="496"/>
      <c r="BZ38" s="496"/>
      <c r="CA38" s="252"/>
      <c r="CB38" s="252"/>
      <c r="CC38" s="252"/>
    </row>
    <row r="39" spans="2:97" ht="20.25" customHeight="1" x14ac:dyDescent="0.15">
      <c r="B39" s="218"/>
      <c r="C39" s="219"/>
      <c r="D39" s="219"/>
      <c r="E39" s="173"/>
      <c r="F39" s="174"/>
      <c r="G39" s="174"/>
      <c r="H39" s="175"/>
      <c r="I39" s="173"/>
      <c r="J39" s="174"/>
      <c r="K39" s="174"/>
      <c r="L39" s="174"/>
      <c r="M39" s="174"/>
      <c r="N39" s="174"/>
      <c r="O39" s="180"/>
      <c r="P39" s="201"/>
      <c r="Q39" s="202"/>
      <c r="R39" s="202"/>
      <c r="S39" s="203"/>
      <c r="T39" s="213"/>
      <c r="U39" s="202"/>
      <c r="V39" s="202"/>
      <c r="W39" s="203"/>
      <c r="X39" s="213"/>
      <c r="Y39" s="202"/>
      <c r="Z39" s="203"/>
      <c r="AA39" s="213"/>
      <c r="AB39" s="202"/>
      <c r="AC39" s="202"/>
      <c r="AD39" s="516"/>
      <c r="AJ39" s="361">
        <f>IF(AND(40&lt;=H22,H22&lt;=64),1,0)</f>
        <v>0</v>
      </c>
      <c r="AK39" s="361"/>
      <c r="AL39" s="361"/>
      <c r="AM39" s="490">
        <f>IF(AJ39=0,0,AB22)</f>
        <v>0</v>
      </c>
      <c r="AN39" s="491"/>
      <c r="AO39" s="492"/>
      <c r="AP39" s="219" t="s">
        <v>44</v>
      </c>
      <c r="AQ39" s="219"/>
      <c r="AR39" s="219"/>
      <c r="AS39" s="226">
        <v>21500</v>
      </c>
      <c r="AT39" s="226"/>
      <c r="AU39" s="226"/>
      <c r="AV39" s="226"/>
      <c r="AW39" s="220">
        <v>6800</v>
      </c>
      <c r="AX39" s="221"/>
      <c r="AY39" s="221"/>
      <c r="AZ39" s="222"/>
      <c r="BA39" s="474">
        <v>900</v>
      </c>
      <c r="BB39" s="475"/>
      <c r="BC39" s="475"/>
      <c r="BD39" s="476"/>
      <c r="BE39" s="220">
        <v>5700</v>
      </c>
      <c r="BF39" s="221"/>
      <c r="BG39" s="221"/>
      <c r="BH39" s="222"/>
      <c r="BM39" s="219"/>
      <c r="BN39" s="219"/>
      <c r="BO39" s="219"/>
      <c r="BP39" s="219"/>
      <c r="BQ39" s="473"/>
      <c r="BR39" s="473"/>
      <c r="BS39" s="473"/>
      <c r="BT39" s="473"/>
      <c r="BU39" s="473"/>
      <c r="BV39" s="473"/>
      <c r="BW39" s="473"/>
      <c r="BX39" s="496"/>
      <c r="BY39" s="496"/>
      <c r="BZ39" s="496"/>
      <c r="CA39" s="252"/>
      <c r="CB39" s="252"/>
      <c r="CC39" s="252"/>
    </row>
    <row r="40" spans="2:97" ht="20.25" customHeight="1" x14ac:dyDescent="0.15">
      <c r="B40" s="218" t="s">
        <v>57</v>
      </c>
      <c r="C40" s="219"/>
      <c r="D40" s="219"/>
      <c r="E40" s="176" t="s">
        <v>123</v>
      </c>
      <c r="F40" s="177"/>
      <c r="G40" s="177"/>
      <c r="H40" s="178"/>
      <c r="I40" s="176" t="s">
        <v>49</v>
      </c>
      <c r="J40" s="177"/>
      <c r="K40" s="177"/>
      <c r="L40" s="177"/>
      <c r="M40" s="177"/>
      <c r="N40" s="177"/>
      <c r="O40" s="179"/>
      <c r="P40" s="204">
        <f>AS39</f>
        <v>21500</v>
      </c>
      <c r="Q40" s="205"/>
      <c r="R40" s="205"/>
      <c r="S40" s="206"/>
      <c r="T40" s="214">
        <f>AW39</f>
        <v>6800</v>
      </c>
      <c r="U40" s="205"/>
      <c r="V40" s="205"/>
      <c r="W40" s="206"/>
      <c r="X40" s="214">
        <f>BA39</f>
        <v>900</v>
      </c>
      <c r="Y40" s="205"/>
      <c r="Z40" s="206"/>
      <c r="AA40" s="214">
        <f>BE39</f>
        <v>5700</v>
      </c>
      <c r="AB40" s="205"/>
      <c r="AC40" s="205"/>
      <c r="AD40" s="548"/>
      <c r="AJ40" s="361"/>
      <c r="AK40" s="361"/>
      <c r="AL40" s="361"/>
      <c r="AM40" s="493"/>
      <c r="AN40" s="494"/>
      <c r="AO40" s="495"/>
      <c r="AP40" s="219"/>
      <c r="AQ40" s="219"/>
      <c r="AR40" s="219"/>
      <c r="AS40" s="226"/>
      <c r="AT40" s="226"/>
      <c r="AU40" s="226"/>
      <c r="AV40" s="226"/>
      <c r="AW40" s="223"/>
      <c r="AX40" s="224"/>
      <c r="AY40" s="224"/>
      <c r="AZ40" s="225"/>
      <c r="BA40" s="477"/>
      <c r="BB40" s="478"/>
      <c r="BC40" s="478"/>
      <c r="BD40" s="479"/>
      <c r="BE40" s="223"/>
      <c r="BF40" s="224"/>
      <c r="BG40" s="224"/>
      <c r="BH40" s="225"/>
      <c r="BM40" s="219" t="s">
        <v>71</v>
      </c>
      <c r="BN40" s="219"/>
      <c r="BO40" s="219"/>
      <c r="BP40" s="219"/>
      <c r="BQ40" s="473" t="s">
        <v>77</v>
      </c>
      <c r="BR40" s="473" t="s">
        <v>68</v>
      </c>
      <c r="BS40" s="473" t="s">
        <v>68</v>
      </c>
      <c r="BT40" s="473" t="s">
        <v>68</v>
      </c>
      <c r="BU40" s="473" t="s">
        <v>68</v>
      </c>
      <c r="BV40" s="473" t="s">
        <v>68</v>
      </c>
      <c r="BW40" s="473" t="s">
        <v>68</v>
      </c>
      <c r="BX40" s="496" t="s">
        <v>75</v>
      </c>
      <c r="BY40" s="496"/>
      <c r="BZ40" s="496"/>
      <c r="CA40" s="252">
        <v>530000</v>
      </c>
      <c r="CB40" s="252"/>
      <c r="CC40" s="252"/>
    </row>
    <row r="41" spans="2:97" ht="20.25" customHeight="1" x14ac:dyDescent="0.15">
      <c r="B41" s="218"/>
      <c r="C41" s="219"/>
      <c r="D41" s="219"/>
      <c r="E41" s="173"/>
      <c r="F41" s="174"/>
      <c r="G41" s="174"/>
      <c r="H41" s="175"/>
      <c r="I41" s="173"/>
      <c r="J41" s="174"/>
      <c r="K41" s="174"/>
      <c r="L41" s="174"/>
      <c r="M41" s="174"/>
      <c r="N41" s="174"/>
      <c r="O41" s="180"/>
      <c r="P41" s="207"/>
      <c r="Q41" s="208"/>
      <c r="R41" s="208"/>
      <c r="S41" s="209"/>
      <c r="T41" s="215"/>
      <c r="U41" s="208"/>
      <c r="V41" s="208"/>
      <c r="W41" s="209"/>
      <c r="X41" s="215"/>
      <c r="Y41" s="208"/>
      <c r="Z41" s="209"/>
      <c r="AA41" s="215"/>
      <c r="AB41" s="208"/>
      <c r="AC41" s="208"/>
      <c r="AD41" s="549"/>
      <c r="AJ41" s="361">
        <f>IF(AND(40&lt;=H24,H24&lt;=64),1,0)</f>
        <v>0</v>
      </c>
      <c r="AK41" s="361"/>
      <c r="AL41" s="361"/>
      <c r="AM41" s="490">
        <f>IF(AJ41=0,0,AB24)</f>
        <v>0</v>
      </c>
      <c r="AN41" s="491"/>
      <c r="AO41" s="492"/>
      <c r="AP41" s="219" t="s">
        <v>47</v>
      </c>
      <c r="AQ41" s="219"/>
      <c r="AR41" s="219"/>
      <c r="AS41" s="226">
        <v>670000</v>
      </c>
      <c r="AT41" s="226"/>
      <c r="AU41" s="226"/>
      <c r="AV41" s="226"/>
      <c r="AW41" s="226">
        <v>260000</v>
      </c>
      <c r="AX41" s="226"/>
      <c r="AY41" s="226"/>
      <c r="AZ41" s="226"/>
      <c r="BA41" s="220">
        <v>30000</v>
      </c>
      <c r="BB41" s="221"/>
      <c r="BC41" s="221"/>
      <c r="BD41" s="222"/>
      <c r="BE41" s="474">
        <v>170000</v>
      </c>
      <c r="BF41" s="475"/>
      <c r="BG41" s="475"/>
      <c r="BH41" s="476"/>
      <c r="BM41" s="219"/>
      <c r="BN41" s="219"/>
      <c r="BO41" s="219"/>
      <c r="BP41" s="219"/>
      <c r="BQ41" s="473"/>
      <c r="BR41" s="473"/>
      <c r="BS41" s="473"/>
      <c r="BT41" s="473"/>
      <c r="BU41" s="473"/>
      <c r="BV41" s="473"/>
      <c r="BW41" s="473"/>
      <c r="BX41" s="496"/>
      <c r="BY41" s="496"/>
      <c r="BZ41" s="496"/>
      <c r="CA41" s="252"/>
      <c r="CB41" s="252"/>
      <c r="CC41" s="252"/>
    </row>
    <row r="42" spans="2:97" ht="20.25" customHeight="1" x14ac:dyDescent="0.15">
      <c r="B42" s="218" t="s">
        <v>58</v>
      </c>
      <c r="C42" s="219"/>
      <c r="D42" s="239"/>
      <c r="E42" s="505" t="s">
        <v>125</v>
      </c>
      <c r="F42" s="505"/>
      <c r="G42" s="505"/>
      <c r="H42" s="505"/>
      <c r="I42" s="505"/>
      <c r="J42" s="505"/>
      <c r="K42" s="505"/>
      <c r="L42" s="505"/>
      <c r="M42" s="505"/>
      <c r="N42" s="505"/>
      <c r="O42" s="506"/>
      <c r="P42" s="509">
        <f>AS41/10000</f>
        <v>67</v>
      </c>
      <c r="Q42" s="510"/>
      <c r="R42" s="510"/>
      <c r="S42" s="510"/>
      <c r="T42" s="517">
        <f>AW41/10000</f>
        <v>26</v>
      </c>
      <c r="U42" s="518"/>
      <c r="V42" s="518"/>
      <c r="W42" s="519"/>
      <c r="X42" s="517">
        <f>BA41/10000</f>
        <v>3</v>
      </c>
      <c r="Y42" s="518"/>
      <c r="Z42" s="519"/>
      <c r="AA42" s="517">
        <f>BE41/10000</f>
        <v>17</v>
      </c>
      <c r="AB42" s="518"/>
      <c r="AC42" s="518"/>
      <c r="AD42" s="523"/>
      <c r="AJ42" s="497"/>
      <c r="AK42" s="497"/>
      <c r="AL42" s="497"/>
      <c r="AM42" s="498"/>
      <c r="AN42" s="499"/>
      <c r="AO42" s="500"/>
      <c r="AP42" s="219"/>
      <c r="AQ42" s="219"/>
      <c r="AR42" s="219"/>
      <c r="AS42" s="226"/>
      <c r="AT42" s="226"/>
      <c r="AU42" s="226"/>
      <c r="AV42" s="226"/>
      <c r="AW42" s="226"/>
      <c r="AX42" s="226"/>
      <c r="AY42" s="226"/>
      <c r="AZ42" s="226"/>
      <c r="BA42" s="223"/>
      <c r="BB42" s="224"/>
      <c r="BC42" s="224"/>
      <c r="BD42" s="225"/>
      <c r="BE42" s="477"/>
      <c r="BF42" s="478"/>
      <c r="BG42" s="478"/>
      <c r="BH42" s="479"/>
      <c r="BM42" s="219"/>
      <c r="BN42" s="219"/>
      <c r="BO42" s="219"/>
      <c r="BP42" s="219"/>
      <c r="BQ42" s="473"/>
      <c r="BR42" s="473"/>
      <c r="BS42" s="473"/>
      <c r="BT42" s="473"/>
      <c r="BU42" s="473"/>
      <c r="BV42" s="473"/>
      <c r="BW42" s="473"/>
      <c r="BX42" s="496"/>
      <c r="BY42" s="496"/>
      <c r="BZ42" s="496"/>
      <c r="CA42" s="252"/>
      <c r="CB42" s="252"/>
      <c r="CC42" s="252"/>
    </row>
    <row r="43" spans="2:97" ht="27" customHeight="1" thickBot="1" x14ac:dyDescent="0.2">
      <c r="B43" s="544"/>
      <c r="C43" s="422"/>
      <c r="D43" s="545"/>
      <c r="E43" s="507"/>
      <c r="F43" s="507"/>
      <c r="G43" s="507"/>
      <c r="H43" s="507"/>
      <c r="I43" s="507"/>
      <c r="J43" s="507"/>
      <c r="K43" s="507"/>
      <c r="L43" s="507"/>
      <c r="M43" s="507"/>
      <c r="N43" s="507"/>
      <c r="O43" s="508"/>
      <c r="P43" s="511"/>
      <c r="Q43" s="512"/>
      <c r="R43" s="512"/>
      <c r="S43" s="512"/>
      <c r="T43" s="520"/>
      <c r="U43" s="521"/>
      <c r="V43" s="521"/>
      <c r="W43" s="522"/>
      <c r="X43" s="520"/>
      <c r="Y43" s="521"/>
      <c r="Z43" s="522"/>
      <c r="AA43" s="520"/>
      <c r="AB43" s="521"/>
      <c r="AC43" s="521"/>
      <c r="AD43" s="524"/>
      <c r="AJ43" s="361">
        <f>IF(AND(40&lt;=H26,H26&lt;=64),1,0)</f>
        <v>0</v>
      </c>
      <c r="AK43" s="361"/>
      <c r="AL43" s="361"/>
      <c r="AM43" s="490">
        <f>IF(AJ43=0,0,AB26)</f>
        <v>0</v>
      </c>
      <c r="AN43" s="491"/>
      <c r="AO43" s="492"/>
      <c r="AP43" s="13"/>
      <c r="BM43" s="546"/>
      <c r="BN43" s="546"/>
      <c r="BO43" s="546"/>
      <c r="BP43" s="546"/>
      <c r="BQ43" s="547"/>
      <c r="BR43" s="547"/>
      <c r="BS43" s="547"/>
      <c r="BT43" s="547"/>
      <c r="BU43" s="547"/>
      <c r="BV43" s="547"/>
      <c r="BW43" s="547"/>
      <c r="BX43" s="575"/>
      <c r="BY43" s="575"/>
      <c r="BZ43" s="575"/>
    </row>
    <row r="44" spans="2:97" ht="20.25" customHeight="1" x14ac:dyDescent="0.15">
      <c r="B44" s="99" t="s">
        <v>133</v>
      </c>
      <c r="C44" s="7" t="s">
        <v>5</v>
      </c>
      <c r="AH44" s="15"/>
      <c r="AJ44" s="361"/>
      <c r="AK44" s="361"/>
      <c r="AL44" s="361"/>
      <c r="AM44" s="493"/>
      <c r="AN44" s="494"/>
      <c r="AO44" s="495"/>
      <c r="AP44" s="13"/>
    </row>
    <row r="45" spans="2:97" ht="20.25" customHeight="1" thickBot="1" x14ac:dyDescent="0.2">
      <c r="B45" s="99" t="s">
        <v>134</v>
      </c>
      <c r="C45" s="7" t="s">
        <v>135</v>
      </c>
      <c r="AH45" s="15"/>
      <c r="AJ45" s="573" t="s">
        <v>138</v>
      </c>
      <c r="AK45" s="573"/>
      <c r="AL45" s="573"/>
      <c r="AM45" s="574" t="s">
        <v>139</v>
      </c>
      <c r="AN45" s="574"/>
      <c r="AO45" s="574"/>
      <c r="AP45" s="13"/>
    </row>
    <row r="46" spans="2:97" ht="30.75" customHeight="1" thickBot="1" x14ac:dyDescent="0.2">
      <c r="B46" s="12" t="s">
        <v>50</v>
      </c>
      <c r="AJ46" s="561">
        <f>SUM(AJ35:AL44)</f>
        <v>0</v>
      </c>
      <c r="AK46" s="562"/>
      <c r="AL46" s="563"/>
      <c r="AM46" s="567">
        <f>SUM(AM35:AO44)</f>
        <v>0</v>
      </c>
      <c r="AN46" s="568"/>
      <c r="AO46" s="569"/>
    </row>
    <row r="47" spans="2:97" ht="25.5" customHeight="1" thickBot="1" x14ac:dyDescent="0.2">
      <c r="B47" s="487"/>
      <c r="C47" s="488"/>
      <c r="D47" s="489"/>
      <c r="E47" s="525" t="s">
        <v>37</v>
      </c>
      <c r="F47" s="152"/>
      <c r="G47" s="153"/>
      <c r="H47" s="151" t="s">
        <v>38</v>
      </c>
      <c r="I47" s="152"/>
      <c r="J47" s="153"/>
      <c r="K47" s="127" t="s">
        <v>131</v>
      </c>
      <c r="L47" s="128"/>
      <c r="M47" s="129"/>
      <c r="N47" s="151" t="s">
        <v>39</v>
      </c>
      <c r="O47" s="152"/>
      <c r="P47" s="153"/>
      <c r="Q47" s="112" t="s">
        <v>51</v>
      </c>
      <c r="R47" s="113"/>
      <c r="S47" s="114"/>
      <c r="U47" s="12" t="str">
        <f>"令和"&amp;BD32&amp;"年度"</f>
        <v>令和8年度</v>
      </c>
      <c r="X47" s="12" t="s">
        <v>129</v>
      </c>
      <c r="AJ47" s="564"/>
      <c r="AK47" s="565"/>
      <c r="AL47" s="566"/>
      <c r="AM47" s="570"/>
      <c r="AN47" s="571"/>
      <c r="AO47" s="572"/>
    </row>
    <row r="48" spans="2:97" ht="20.25" customHeight="1" x14ac:dyDescent="0.15">
      <c r="B48" s="536" t="s">
        <v>55</v>
      </c>
      <c r="C48" s="537"/>
      <c r="D48" s="538"/>
      <c r="E48" s="539">
        <f>IF($O$30&lt;0,0,$O$30*AS35)</f>
        <v>0</v>
      </c>
      <c r="F48" s="540"/>
      <c r="G48" s="540"/>
      <c r="H48" s="541">
        <f>IF($O$30&lt;0,0,$O$30*AW35)</f>
        <v>0</v>
      </c>
      <c r="I48" s="542"/>
      <c r="J48" s="543"/>
      <c r="K48" s="541">
        <f>IF(AJ63=0,0,IF($AM$63&lt;=0,0,$AM$63*BA35))</f>
        <v>0</v>
      </c>
      <c r="L48" s="542"/>
      <c r="M48" s="543"/>
      <c r="N48" s="541">
        <f>IF(AJ46=0,0,IF($AM$46&lt;=0,0,$AM$46*BE35))</f>
        <v>0</v>
      </c>
      <c r="O48" s="542"/>
      <c r="P48" s="543"/>
      <c r="Q48" s="115">
        <f>SUM(E48:P48)</f>
        <v>0</v>
      </c>
      <c r="R48" s="116"/>
      <c r="S48" s="117"/>
      <c r="U48" s="12" t="s">
        <v>128</v>
      </c>
      <c r="V48" s="16"/>
      <c r="W48" s="16"/>
      <c r="X48" s="16"/>
      <c r="Y48" s="16"/>
      <c r="Z48" s="16"/>
      <c r="AA48" s="16"/>
    </row>
    <row r="49" spans="2:116" ht="18.75" customHeight="1" x14ac:dyDescent="0.15">
      <c r="B49" s="163" t="s">
        <v>56</v>
      </c>
      <c r="C49" s="164"/>
      <c r="D49" s="165"/>
      <c r="E49" s="166">
        <f>IF($F$30&lt;0,0,$F$30*AS37)</f>
        <v>0</v>
      </c>
      <c r="F49" s="167"/>
      <c r="G49" s="167"/>
      <c r="H49" s="168">
        <f>IF($F$30&lt;0,0,$F$30*AW37)</f>
        <v>0</v>
      </c>
      <c r="I49" s="169"/>
      <c r="J49" s="170"/>
      <c r="K49" s="167">
        <f>IF(AJ63=0,0,AJ63*BA37)</f>
        <v>0</v>
      </c>
      <c r="L49" s="167"/>
      <c r="M49" s="167"/>
      <c r="N49" s="167">
        <f>IF(AJ46=0,0,AJ46*BE37)</f>
        <v>0</v>
      </c>
      <c r="O49" s="167"/>
      <c r="P49" s="167"/>
      <c r="Q49" s="118">
        <f>SUM(E49:P49)</f>
        <v>0</v>
      </c>
      <c r="R49" s="119"/>
      <c r="S49" s="120"/>
      <c r="U49" s="502">
        <f>Q52</f>
        <v>0</v>
      </c>
      <c r="V49" s="503"/>
      <c r="W49" s="503"/>
      <c r="X49" s="503"/>
      <c r="Y49" s="503"/>
      <c r="Z49" s="154" t="s">
        <v>53</v>
      </c>
      <c r="AA49" s="154"/>
      <c r="AB49" s="154"/>
      <c r="AC49" s="154"/>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row>
    <row r="50" spans="2:116" ht="18.75" customHeight="1" thickBot="1" x14ac:dyDescent="0.2">
      <c r="B50" s="155" t="s">
        <v>57</v>
      </c>
      <c r="C50" s="156"/>
      <c r="D50" s="157"/>
      <c r="E50" s="158">
        <f>IF($F$30=0,0,AS39)</f>
        <v>0</v>
      </c>
      <c r="F50" s="159"/>
      <c r="G50" s="159"/>
      <c r="H50" s="160">
        <f>IF($F$30=0,0,AW39)</f>
        <v>0</v>
      </c>
      <c r="I50" s="161"/>
      <c r="J50" s="162"/>
      <c r="K50" s="159">
        <f>IF(AJ63=0,0,BA39)</f>
        <v>0</v>
      </c>
      <c r="L50" s="159"/>
      <c r="M50" s="159"/>
      <c r="N50" s="159">
        <f>IF(AJ46=0,0,BE39)</f>
        <v>0</v>
      </c>
      <c r="O50" s="159"/>
      <c r="P50" s="159"/>
      <c r="Q50" s="121">
        <f>SUM(E50:P50)</f>
        <v>0</v>
      </c>
      <c r="R50" s="122"/>
      <c r="S50" s="123"/>
      <c r="U50" s="504"/>
      <c r="V50" s="504"/>
      <c r="W50" s="504"/>
      <c r="X50" s="504"/>
      <c r="Y50" s="504"/>
      <c r="Z50" s="154"/>
      <c r="AA50" s="154"/>
      <c r="AB50" s="154"/>
      <c r="AC50" s="154"/>
      <c r="AD50" s="40"/>
      <c r="AE50" s="40"/>
      <c r="AF50" s="40"/>
      <c r="AG50" s="40"/>
      <c r="AH50" s="40"/>
      <c r="AI50" s="40"/>
      <c r="AJ50" s="466" t="s">
        <v>136</v>
      </c>
      <c r="AK50" s="466"/>
      <c r="AL50" s="466"/>
      <c r="AM50" s="466" t="s">
        <v>137</v>
      </c>
      <c r="AN50" s="466"/>
      <c r="AO50" s="466"/>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row>
    <row r="51" spans="2:116" ht="18.75" customHeight="1" thickTop="1" thickBot="1" x14ac:dyDescent="0.2">
      <c r="B51" s="109" t="s">
        <v>51</v>
      </c>
      <c r="C51" s="526"/>
      <c r="D51" s="527"/>
      <c r="E51" s="528">
        <f>SUM(E48:G50)</f>
        <v>0</v>
      </c>
      <c r="F51" s="529"/>
      <c r="G51" s="530"/>
      <c r="H51" s="531">
        <f>SUM(H48:J50)</f>
        <v>0</v>
      </c>
      <c r="I51" s="532"/>
      <c r="J51" s="533"/>
      <c r="K51" s="534">
        <f>SUM(K48:M50)</f>
        <v>0</v>
      </c>
      <c r="L51" s="529"/>
      <c r="M51" s="529"/>
      <c r="N51" s="535">
        <f>SUM(N48:P50)</f>
        <v>0</v>
      </c>
      <c r="O51" s="125"/>
      <c r="P51" s="125"/>
      <c r="Q51" s="124">
        <f>SUM(E51:P51)</f>
        <v>0</v>
      </c>
      <c r="R51" s="125"/>
      <c r="S51" s="126"/>
      <c r="U51" s="17" t="str">
        <f>"（ひと月あたり　　約 "&amp;TEXT(ROUNDUP(U49/12,-3),"#,##0"&amp;"円）")</f>
        <v>（ひと月あたり　　約 0円)</v>
      </c>
      <c r="V51" s="17"/>
      <c r="W51" s="17"/>
      <c r="X51" s="17"/>
      <c r="Y51" s="17"/>
      <c r="Z51" s="17"/>
      <c r="AA51" s="17"/>
      <c r="AB51" s="17"/>
      <c r="AC51" s="22"/>
      <c r="AD51" s="22"/>
      <c r="AJ51" s="466"/>
      <c r="AK51" s="466"/>
      <c r="AL51" s="466"/>
      <c r="AM51" s="466"/>
      <c r="AN51" s="466"/>
      <c r="AO51" s="466"/>
    </row>
    <row r="52" spans="2:116" ht="18.75" customHeight="1" x14ac:dyDescent="0.15">
      <c r="B52" s="103" t="s">
        <v>54</v>
      </c>
      <c r="C52" s="104"/>
      <c r="D52" s="105"/>
      <c r="E52" s="139">
        <f>IF(E51&gt;AS41,AS41,ROUNDDOWN(E51,-2))</f>
        <v>0</v>
      </c>
      <c r="F52" s="140"/>
      <c r="G52" s="141"/>
      <c r="H52" s="148">
        <f>IF(H51&gt;AW41,AW41,ROUNDDOWN(H51,-2))</f>
        <v>0</v>
      </c>
      <c r="I52" s="140"/>
      <c r="J52" s="141"/>
      <c r="K52" s="148">
        <f>IF(K51&gt;BA41,BA41,ROUNDDOWN(K51,-2))</f>
        <v>0</v>
      </c>
      <c r="L52" s="140"/>
      <c r="M52" s="141"/>
      <c r="N52" s="148">
        <f>IF(N51&gt;BE41,BE41,ROUNDDOWN(N51,-2))</f>
        <v>0</v>
      </c>
      <c r="O52" s="140"/>
      <c r="P52" s="141"/>
      <c r="Q52" s="130">
        <f>SUM(E52:P54)</f>
        <v>0</v>
      </c>
      <c r="R52" s="131"/>
      <c r="S52" s="132"/>
      <c r="U52" s="102" t="s">
        <v>161</v>
      </c>
      <c r="V52" s="102"/>
      <c r="W52" s="102"/>
      <c r="X52" s="102"/>
      <c r="Y52" s="102"/>
      <c r="Z52" s="102"/>
      <c r="AA52" s="102"/>
      <c r="AB52" s="102"/>
      <c r="AC52" s="102"/>
      <c r="AD52" s="102"/>
      <c r="AE52" s="102"/>
      <c r="AJ52" s="361">
        <f>IF(AND(18&lt;=H18),1,0)</f>
        <v>0</v>
      </c>
      <c r="AK52" s="361"/>
      <c r="AL52" s="361"/>
      <c r="AM52" s="490">
        <f>IF(AJ52=0,0,AB18)</f>
        <v>0</v>
      </c>
      <c r="AN52" s="491"/>
      <c r="AO52" s="492"/>
    </row>
    <row r="53" spans="2:116" ht="18.75" customHeight="1" x14ac:dyDescent="0.15">
      <c r="B53" s="106"/>
      <c r="C53" s="107"/>
      <c r="D53" s="108"/>
      <c r="E53" s="142"/>
      <c r="F53" s="143"/>
      <c r="G53" s="144"/>
      <c r="H53" s="149"/>
      <c r="I53" s="143"/>
      <c r="J53" s="144"/>
      <c r="K53" s="149"/>
      <c r="L53" s="143"/>
      <c r="M53" s="144"/>
      <c r="N53" s="149"/>
      <c r="O53" s="143"/>
      <c r="P53" s="144"/>
      <c r="Q53" s="133"/>
      <c r="R53" s="134"/>
      <c r="S53" s="135"/>
      <c r="T53" s="73"/>
      <c r="U53" s="102"/>
      <c r="V53" s="102"/>
      <c r="W53" s="102"/>
      <c r="X53" s="102"/>
      <c r="Y53" s="102"/>
      <c r="Z53" s="102"/>
      <c r="AA53" s="102"/>
      <c r="AB53" s="102"/>
      <c r="AC53" s="102"/>
      <c r="AD53" s="102"/>
      <c r="AE53" s="102"/>
      <c r="AJ53" s="361"/>
      <c r="AK53" s="361"/>
      <c r="AL53" s="361"/>
      <c r="AM53" s="493"/>
      <c r="AN53" s="494"/>
      <c r="AO53" s="495"/>
    </row>
    <row r="54" spans="2:116" ht="18.75" customHeight="1" thickBot="1" x14ac:dyDescent="0.2">
      <c r="B54" s="109"/>
      <c r="C54" s="110"/>
      <c r="D54" s="111"/>
      <c r="E54" s="145"/>
      <c r="F54" s="146"/>
      <c r="G54" s="147"/>
      <c r="H54" s="150"/>
      <c r="I54" s="146"/>
      <c r="J54" s="147"/>
      <c r="K54" s="150"/>
      <c r="L54" s="146"/>
      <c r="M54" s="147"/>
      <c r="N54" s="150"/>
      <c r="O54" s="146"/>
      <c r="P54" s="147"/>
      <c r="Q54" s="136"/>
      <c r="R54" s="137"/>
      <c r="S54" s="138"/>
      <c r="T54" s="73"/>
      <c r="U54" s="102"/>
      <c r="V54" s="102"/>
      <c r="W54" s="102"/>
      <c r="X54" s="102"/>
      <c r="Y54" s="102"/>
      <c r="Z54" s="102"/>
      <c r="AA54" s="102"/>
      <c r="AB54" s="102"/>
      <c r="AC54" s="102"/>
      <c r="AD54" s="102"/>
      <c r="AE54" s="102"/>
      <c r="AJ54" s="361">
        <f t="shared" ref="AJ54" si="5">IF(AND(18&lt;=H20),1,0)</f>
        <v>0</v>
      </c>
      <c r="AK54" s="361"/>
      <c r="AL54" s="361"/>
      <c r="AM54" s="490">
        <f t="shared" ref="AM54" si="6">IF(AJ54=0,0,AB20)</f>
        <v>0</v>
      </c>
      <c r="AN54" s="491"/>
      <c r="AO54" s="492"/>
    </row>
    <row r="55" spans="2:116" ht="18.75" customHeight="1" x14ac:dyDescent="0.15">
      <c r="B55" s="71"/>
      <c r="C55" s="71"/>
      <c r="D55" s="71"/>
      <c r="E55" s="98"/>
      <c r="F55" s="98"/>
      <c r="G55" s="98"/>
      <c r="H55" s="98"/>
      <c r="I55" s="98"/>
      <c r="J55" s="98"/>
      <c r="K55" s="98"/>
      <c r="L55" s="98"/>
      <c r="M55" s="98"/>
      <c r="N55" s="72"/>
      <c r="O55" s="72"/>
      <c r="P55" s="72"/>
      <c r="R55" s="18"/>
      <c r="S55" s="73"/>
      <c r="T55" s="73"/>
      <c r="U55" s="102"/>
      <c r="V55" s="102"/>
      <c r="W55" s="102"/>
      <c r="X55" s="102"/>
      <c r="Y55" s="102"/>
      <c r="Z55" s="102"/>
      <c r="AA55" s="102"/>
      <c r="AB55" s="102"/>
      <c r="AC55" s="102"/>
      <c r="AD55" s="102"/>
      <c r="AE55" s="102"/>
      <c r="AJ55" s="361"/>
      <c r="AK55" s="361"/>
      <c r="AL55" s="361"/>
      <c r="AM55" s="493"/>
      <c r="AN55" s="494"/>
      <c r="AO55" s="495"/>
    </row>
    <row r="56" spans="2:116" ht="34.5" customHeight="1" x14ac:dyDescent="0.15">
      <c r="B56" s="71"/>
      <c r="C56" s="71"/>
      <c r="D56" s="71"/>
      <c r="E56" s="98"/>
      <c r="F56" s="98"/>
      <c r="G56" s="98"/>
      <c r="H56" s="98"/>
      <c r="I56" s="98"/>
      <c r="J56" s="98"/>
      <c r="K56" s="98"/>
      <c r="L56" s="98"/>
      <c r="M56" s="98"/>
      <c r="N56" s="72"/>
      <c r="O56" s="72"/>
      <c r="P56" s="72"/>
      <c r="Q56" s="18"/>
      <c r="R56" s="18"/>
      <c r="S56" s="73"/>
      <c r="T56" s="73"/>
      <c r="U56" s="73"/>
      <c r="V56" s="73"/>
      <c r="W56" s="73"/>
      <c r="X56" s="73"/>
      <c r="Y56" s="73"/>
      <c r="Z56" s="73"/>
      <c r="AA56" s="73"/>
      <c r="AB56" s="73"/>
      <c r="AC56" s="73"/>
      <c r="AD56" s="73"/>
      <c r="AE56" s="73"/>
      <c r="AJ56" s="361">
        <f t="shared" ref="AJ56" si="7">IF(AND(18&lt;=H22),1,0)</f>
        <v>0</v>
      </c>
      <c r="AK56" s="361"/>
      <c r="AL56" s="361"/>
      <c r="AM56" s="490">
        <f t="shared" ref="AM56" si="8">IF(AJ56=0,0,AB22)</f>
        <v>0</v>
      </c>
      <c r="AN56" s="491"/>
      <c r="AO56" s="492"/>
    </row>
    <row r="57" spans="2:116" ht="18.75" customHeight="1" x14ac:dyDescent="0.15">
      <c r="Q57" s="18"/>
      <c r="R57" s="18"/>
      <c r="S57" s="18"/>
      <c r="T57" s="18"/>
      <c r="U57" s="18"/>
      <c r="V57" s="18"/>
      <c r="W57" s="18"/>
      <c r="X57" s="18"/>
      <c r="Y57" s="18"/>
      <c r="Z57" s="18"/>
      <c r="AA57" s="18"/>
      <c r="AB57" s="18"/>
      <c r="AC57" s="18"/>
      <c r="AD57" s="18"/>
      <c r="AE57" s="17"/>
      <c r="AJ57" s="361"/>
      <c r="AK57" s="361"/>
      <c r="AL57" s="361"/>
      <c r="AM57" s="493"/>
      <c r="AN57" s="494"/>
      <c r="AO57" s="495"/>
    </row>
    <row r="58" spans="2:116" ht="18.75" customHeight="1" x14ac:dyDescent="0.15">
      <c r="AC58" s="18"/>
      <c r="AD58" s="18"/>
      <c r="AE58" s="17"/>
      <c r="AJ58" s="361">
        <f t="shared" ref="AJ58" si="9">IF(AND(18&lt;=H24),1,0)</f>
        <v>0</v>
      </c>
      <c r="AK58" s="361"/>
      <c r="AL58" s="361"/>
      <c r="AM58" s="490">
        <f t="shared" ref="AM58" si="10">IF(AJ58=0,0,AB24)</f>
        <v>0</v>
      </c>
      <c r="AN58" s="491"/>
      <c r="AO58" s="492"/>
    </row>
    <row r="59" spans="2:116" ht="18.75" customHeight="1" x14ac:dyDescent="0.15">
      <c r="AC59" s="18"/>
      <c r="AD59" s="18"/>
      <c r="AE59" s="19"/>
      <c r="AF59" s="19"/>
      <c r="AJ59" s="361"/>
      <c r="AK59" s="361"/>
      <c r="AL59" s="361"/>
      <c r="AM59" s="493"/>
      <c r="AN59" s="494"/>
      <c r="AO59" s="495"/>
    </row>
    <row r="60" spans="2:116" ht="26.25" customHeight="1" x14ac:dyDescent="0.15">
      <c r="AC60" s="19"/>
      <c r="AD60" s="19"/>
      <c r="AE60" s="19"/>
      <c r="AF60" s="19"/>
      <c r="AJ60" s="361">
        <f t="shared" ref="AJ60" si="11">IF(AND(18&lt;=H26),1,0)</f>
        <v>0</v>
      </c>
      <c r="AK60" s="361"/>
      <c r="AL60" s="361"/>
      <c r="AM60" s="490">
        <f t="shared" ref="AM60" si="12">IF(AJ60=0,0,AB26)</f>
        <v>0</v>
      </c>
      <c r="AN60" s="491"/>
      <c r="AO60" s="492"/>
    </row>
    <row r="61" spans="2:116" ht="18.75" customHeight="1" x14ac:dyDescent="0.15">
      <c r="AJ61" s="361"/>
      <c r="AK61" s="361"/>
      <c r="AL61" s="361"/>
      <c r="AM61" s="493"/>
      <c r="AN61" s="494"/>
      <c r="AO61" s="495"/>
    </row>
    <row r="62" spans="2:116" ht="18.75" customHeight="1" thickBot="1" x14ac:dyDescent="0.2">
      <c r="AJ62" s="573" t="s">
        <v>140</v>
      </c>
      <c r="AK62" s="573"/>
      <c r="AL62" s="573"/>
      <c r="AM62" s="574" t="s">
        <v>141</v>
      </c>
      <c r="AN62" s="574"/>
      <c r="AO62" s="574"/>
    </row>
    <row r="63" spans="2:116" ht="18.75" customHeight="1" x14ac:dyDescent="0.15">
      <c r="AJ63" s="561">
        <f>SUM(AJ52:AL61)</f>
        <v>0</v>
      </c>
      <c r="AK63" s="562"/>
      <c r="AL63" s="563"/>
      <c r="AM63" s="567">
        <f>SUM(AM52:AO61)</f>
        <v>0</v>
      </c>
      <c r="AN63" s="568"/>
      <c r="AO63" s="569"/>
    </row>
    <row r="64" spans="2:116" ht="18.75" customHeight="1" thickBot="1" x14ac:dyDescent="0.2">
      <c r="AJ64" s="564"/>
      <c r="AK64" s="565"/>
      <c r="AL64" s="566"/>
      <c r="AM64" s="570"/>
      <c r="AN64" s="571"/>
      <c r="AO64" s="572"/>
    </row>
  </sheetData>
  <sheetProtection password="E1E6" sheet="1" objects="1" scenarios="1"/>
  <mergeCells count="524">
    <mergeCell ref="CR14:DK14"/>
    <mergeCell ref="AJ60:AL61"/>
    <mergeCell ref="AM60:AO61"/>
    <mergeCell ref="AJ63:AL64"/>
    <mergeCell ref="AM63:AO64"/>
    <mergeCell ref="AJ45:AL45"/>
    <mergeCell ref="AM45:AO45"/>
    <mergeCell ref="AJ62:AL62"/>
    <mergeCell ref="AM62:AO62"/>
    <mergeCell ref="AM50:AO51"/>
    <mergeCell ref="AJ52:AL53"/>
    <mergeCell ref="AM52:AO53"/>
    <mergeCell ref="AJ54:AL55"/>
    <mergeCell ref="AM54:AO55"/>
    <mergeCell ref="AJ56:AL57"/>
    <mergeCell ref="AM56:AO57"/>
    <mergeCell ref="AJ58:AL59"/>
    <mergeCell ref="AM58:AO59"/>
    <mergeCell ref="BX43:BZ43"/>
    <mergeCell ref="AJ46:AL47"/>
    <mergeCell ref="AM46:AO47"/>
    <mergeCell ref="AJ43:AL44"/>
    <mergeCell ref="BQ40:BW42"/>
    <mergeCell ref="AM43:AO44"/>
    <mergeCell ref="BM43:BP43"/>
    <mergeCell ref="BQ43:BW43"/>
    <mergeCell ref="BM40:BP42"/>
    <mergeCell ref="AP39:AR40"/>
    <mergeCell ref="AA40:AD41"/>
    <mergeCell ref="C14:AE14"/>
    <mergeCell ref="C15:AE15"/>
    <mergeCell ref="AS39:AV40"/>
    <mergeCell ref="BA39:BD40"/>
    <mergeCell ref="AJ39:AL40"/>
    <mergeCell ref="AM39:AO40"/>
    <mergeCell ref="V32:Z32"/>
    <mergeCell ref="E26:F27"/>
    <mergeCell ref="G26:G27"/>
    <mergeCell ref="H26:I27"/>
    <mergeCell ref="J26:J27"/>
    <mergeCell ref="K26:N27"/>
    <mergeCell ref="P26:S27"/>
    <mergeCell ref="U26:V27"/>
    <mergeCell ref="X26:Z27"/>
    <mergeCell ref="AX24:BA25"/>
    <mergeCell ref="BG24:BI24"/>
    <mergeCell ref="P16:T17"/>
    <mergeCell ref="BS24:BU24"/>
    <mergeCell ref="N49:P49"/>
    <mergeCell ref="U49:Y50"/>
    <mergeCell ref="B38:D39"/>
    <mergeCell ref="E42:O43"/>
    <mergeCell ref="P42:S43"/>
    <mergeCell ref="AA36:AD37"/>
    <mergeCell ref="AA38:AD39"/>
    <mergeCell ref="AJ50:AL51"/>
    <mergeCell ref="T42:W43"/>
    <mergeCell ref="X42:Z43"/>
    <mergeCell ref="AA42:AD43"/>
    <mergeCell ref="E47:G47"/>
    <mergeCell ref="H47:J47"/>
    <mergeCell ref="B51:D51"/>
    <mergeCell ref="E51:G51"/>
    <mergeCell ref="H51:J51"/>
    <mergeCell ref="K51:M51"/>
    <mergeCell ref="N51:P51"/>
    <mergeCell ref="B48:D48"/>
    <mergeCell ref="E48:G48"/>
    <mergeCell ref="H48:J48"/>
    <mergeCell ref="K48:M48"/>
    <mergeCell ref="N48:P48"/>
    <mergeCell ref="B42:D43"/>
    <mergeCell ref="B47:D47"/>
    <mergeCell ref="AM37:AO38"/>
    <mergeCell ref="AP37:AR38"/>
    <mergeCell ref="BX34:BZ36"/>
    <mergeCell ref="CA34:CC36"/>
    <mergeCell ref="CA40:CC42"/>
    <mergeCell ref="AJ41:AL42"/>
    <mergeCell ref="AM41:AO42"/>
    <mergeCell ref="AP41:AR42"/>
    <mergeCell ref="AS41:AV42"/>
    <mergeCell ref="BE41:BH42"/>
    <mergeCell ref="AJ35:AL36"/>
    <mergeCell ref="AM35:AO36"/>
    <mergeCell ref="AP35:AR36"/>
    <mergeCell ref="AS35:AV36"/>
    <mergeCell ref="CA37:CC39"/>
    <mergeCell ref="AS37:AV38"/>
    <mergeCell ref="BA37:BD38"/>
    <mergeCell ref="BM37:BP39"/>
    <mergeCell ref="BQ37:BW39"/>
    <mergeCell ref="BX37:BZ39"/>
    <mergeCell ref="AJ37:AL38"/>
    <mergeCell ref="BX40:BZ42"/>
    <mergeCell ref="AW37:AZ38"/>
    <mergeCell ref="DF32:DH32"/>
    <mergeCell ref="DI32:DK32"/>
    <mergeCell ref="AJ33:AL34"/>
    <mergeCell ref="AM33:AO34"/>
    <mergeCell ref="AP33:AR34"/>
    <mergeCell ref="AS33:BH33"/>
    <mergeCell ref="BQ34:BW36"/>
    <mergeCell ref="AS34:AV34"/>
    <mergeCell ref="BE34:BH34"/>
    <mergeCell ref="BM34:BP36"/>
    <mergeCell ref="BA35:BD36"/>
    <mergeCell ref="AW35:AZ36"/>
    <mergeCell ref="AS32:BC32"/>
    <mergeCell ref="BD32:BK32"/>
    <mergeCell ref="CK32:CM32"/>
    <mergeCell ref="CO32:CQ32"/>
    <mergeCell ref="CR32:CV32"/>
    <mergeCell ref="CW32:CY32"/>
    <mergeCell ref="CZ32:DB32"/>
    <mergeCell ref="DC32:DE32"/>
    <mergeCell ref="DI30:DK30"/>
    <mergeCell ref="CK31:CM31"/>
    <mergeCell ref="CO31:CQ31"/>
    <mergeCell ref="CR31:CV31"/>
    <mergeCell ref="CW31:CY31"/>
    <mergeCell ref="CZ31:DB31"/>
    <mergeCell ref="DC31:DE31"/>
    <mergeCell ref="DF31:DH31"/>
    <mergeCell ref="DI31:DK31"/>
    <mergeCell ref="CO30:CQ30"/>
    <mergeCell ref="CR30:CV30"/>
    <mergeCell ref="CW30:CY30"/>
    <mergeCell ref="CZ30:DB30"/>
    <mergeCell ref="DC30:DE30"/>
    <mergeCell ref="DF30:DH30"/>
    <mergeCell ref="DI28:DK28"/>
    <mergeCell ref="CK29:CM29"/>
    <mergeCell ref="CO29:CQ29"/>
    <mergeCell ref="CR29:CV29"/>
    <mergeCell ref="CW29:CY29"/>
    <mergeCell ref="CZ29:DB29"/>
    <mergeCell ref="DC29:DE29"/>
    <mergeCell ref="DF29:DH29"/>
    <mergeCell ref="DI29:DK29"/>
    <mergeCell ref="CW27:CY27"/>
    <mergeCell ref="CZ27:DB27"/>
    <mergeCell ref="DC27:DE27"/>
    <mergeCell ref="DF27:DH27"/>
    <mergeCell ref="B30:E31"/>
    <mergeCell ref="F30:G31"/>
    <mergeCell ref="H30:H31"/>
    <mergeCell ref="I30:N31"/>
    <mergeCell ref="O30:R31"/>
    <mergeCell ref="S30:S31"/>
    <mergeCell ref="DF28:DH28"/>
    <mergeCell ref="AP28:AS28"/>
    <mergeCell ref="AT28:AW28"/>
    <mergeCell ref="AX28:BA28"/>
    <mergeCell ref="CK28:CM28"/>
    <mergeCell ref="CO28:CQ28"/>
    <mergeCell ref="CR28:CV28"/>
    <mergeCell ref="CW28:CY28"/>
    <mergeCell ref="CZ28:DB28"/>
    <mergeCell ref="DC28:DE28"/>
    <mergeCell ref="AO26:AO27"/>
    <mergeCell ref="AP26:AS27"/>
    <mergeCell ref="AT26:AW27"/>
    <mergeCell ref="B26:D27"/>
    <mergeCell ref="DF21:DH21"/>
    <mergeCell ref="CO23:CQ23"/>
    <mergeCell ref="CR23:CV23"/>
    <mergeCell ref="CR22:CV22"/>
    <mergeCell ref="BV23:BX23"/>
    <mergeCell ref="CK22:CM22"/>
    <mergeCell ref="DI26:DK26"/>
    <mergeCell ref="BC22:BE22"/>
    <mergeCell ref="BG22:BI22"/>
    <mergeCell ref="BJ22:BR22"/>
    <mergeCell ref="BS22:BU22"/>
    <mergeCell ref="BV22:BX22"/>
    <mergeCell ref="BY22:CA22"/>
    <mergeCell ref="CB22:CD22"/>
    <mergeCell ref="CE22:CG22"/>
    <mergeCell ref="DI23:DK23"/>
    <mergeCell ref="CW26:CY26"/>
    <mergeCell ref="CZ26:DB26"/>
    <mergeCell ref="DC26:DE26"/>
    <mergeCell ref="DF26:DH26"/>
    <mergeCell ref="CO26:CQ26"/>
    <mergeCell ref="CR26:CV26"/>
    <mergeCell ref="BC24:BE24"/>
    <mergeCell ref="BJ24:BR24"/>
    <mergeCell ref="DI27:DK27"/>
    <mergeCell ref="CO27:CQ27"/>
    <mergeCell ref="AX26:BA27"/>
    <mergeCell ref="BC21:BE21"/>
    <mergeCell ref="BG21:BI21"/>
    <mergeCell ref="AB26:AD27"/>
    <mergeCell ref="AJ26:AJ27"/>
    <mergeCell ref="AK26:AK27"/>
    <mergeCell ref="AL26:AL27"/>
    <mergeCell ref="AM26:AM27"/>
    <mergeCell ref="AN26:AN27"/>
    <mergeCell ref="DI25:DK25"/>
    <mergeCell ref="CO25:CQ25"/>
    <mergeCell ref="CR25:CV25"/>
    <mergeCell ref="CW25:CY25"/>
    <mergeCell ref="CZ25:DB25"/>
    <mergeCell ref="DC25:DE25"/>
    <mergeCell ref="DF25:DH25"/>
    <mergeCell ref="CW24:CY24"/>
    <mergeCell ref="CZ24:DB24"/>
    <mergeCell ref="DC24:DE24"/>
    <mergeCell ref="DF24:DH24"/>
    <mergeCell ref="DI24:DK24"/>
    <mergeCell ref="AT24:AW25"/>
    <mergeCell ref="CK27:CM27"/>
    <mergeCell ref="BC26:BE26"/>
    <mergeCell ref="BG26:BI26"/>
    <mergeCell ref="BJ26:BR26"/>
    <mergeCell ref="BS26:BU26"/>
    <mergeCell ref="BC27:BE27"/>
    <mergeCell ref="BG27:BI27"/>
    <mergeCell ref="BJ27:BR27"/>
    <mergeCell ref="BS27:BU27"/>
    <mergeCell ref="CR27:CV27"/>
    <mergeCell ref="CI25:CJ32"/>
    <mergeCell ref="CK25:CM25"/>
    <mergeCell ref="CK26:CM26"/>
    <mergeCell ref="CK30:CM30"/>
    <mergeCell ref="CR24:CV24"/>
    <mergeCell ref="BV24:BX24"/>
    <mergeCell ref="BY24:CA24"/>
    <mergeCell ref="CB24:CD24"/>
    <mergeCell ref="CE24:CG24"/>
    <mergeCell ref="CK24:CM24"/>
    <mergeCell ref="CO24:CQ24"/>
    <mergeCell ref="BV25:BX25"/>
    <mergeCell ref="BY25:CA25"/>
    <mergeCell ref="CB25:CD25"/>
    <mergeCell ref="CE25:CG25"/>
    <mergeCell ref="BV26:BX26"/>
    <mergeCell ref="BY26:CA26"/>
    <mergeCell ref="CB26:CD26"/>
    <mergeCell ref="CE26:CG26"/>
    <mergeCell ref="BV27:BX27"/>
    <mergeCell ref="BY27:CA27"/>
    <mergeCell ref="CB27:CD27"/>
    <mergeCell ref="CE27:CG27"/>
    <mergeCell ref="BC20:BE20"/>
    <mergeCell ref="BG20:BI20"/>
    <mergeCell ref="BJ20:BR20"/>
    <mergeCell ref="BS20:BU20"/>
    <mergeCell ref="BJ23:BR23"/>
    <mergeCell ref="BS23:BU23"/>
    <mergeCell ref="BC25:BE25"/>
    <mergeCell ref="BG25:BI25"/>
    <mergeCell ref="BJ25:BR25"/>
    <mergeCell ref="BS25:BU25"/>
    <mergeCell ref="BJ21:BR21"/>
    <mergeCell ref="BS21:BU21"/>
    <mergeCell ref="AN24:AN25"/>
    <mergeCell ref="AO24:AO25"/>
    <mergeCell ref="AP24:AS25"/>
    <mergeCell ref="K24:N25"/>
    <mergeCell ref="P24:S25"/>
    <mergeCell ref="U24:V25"/>
    <mergeCell ref="X24:Z25"/>
    <mergeCell ref="AB24:AD25"/>
    <mergeCell ref="AJ24:AJ25"/>
    <mergeCell ref="B24:D25"/>
    <mergeCell ref="E24:F25"/>
    <mergeCell ref="G24:G25"/>
    <mergeCell ref="H24:I25"/>
    <mergeCell ref="J24:J25"/>
    <mergeCell ref="BY23:CA23"/>
    <mergeCell ref="CB23:CD23"/>
    <mergeCell ref="CE23:CG23"/>
    <mergeCell ref="CK23:CM23"/>
    <mergeCell ref="AX22:BA23"/>
    <mergeCell ref="AL22:AL23"/>
    <mergeCell ref="AM22:AM23"/>
    <mergeCell ref="AN22:AN23"/>
    <mergeCell ref="AO22:AO23"/>
    <mergeCell ref="AP22:AS23"/>
    <mergeCell ref="AT22:AW23"/>
    <mergeCell ref="P22:S23"/>
    <mergeCell ref="AK24:AK25"/>
    <mergeCell ref="AL24:AL25"/>
    <mergeCell ref="AM24:AM25"/>
    <mergeCell ref="AJ22:AJ23"/>
    <mergeCell ref="AK22:AK23"/>
    <mergeCell ref="BC23:BE23"/>
    <mergeCell ref="BG23:BI23"/>
    <mergeCell ref="X22:Z23"/>
    <mergeCell ref="AB22:AD23"/>
    <mergeCell ref="B20:D21"/>
    <mergeCell ref="E20:F21"/>
    <mergeCell ref="DI21:DK21"/>
    <mergeCell ref="CO21:CQ21"/>
    <mergeCell ref="CR21:CV21"/>
    <mergeCell ref="CW21:CY21"/>
    <mergeCell ref="CW22:CY22"/>
    <mergeCell ref="CZ22:DB22"/>
    <mergeCell ref="DC22:DE22"/>
    <mergeCell ref="DF22:DH22"/>
    <mergeCell ref="DI22:DK22"/>
    <mergeCell ref="CO22:CQ22"/>
    <mergeCell ref="BV21:BX21"/>
    <mergeCell ref="BY21:CA21"/>
    <mergeCell ref="CB21:CD21"/>
    <mergeCell ref="CE21:CG21"/>
    <mergeCell ref="DF23:DH23"/>
    <mergeCell ref="CW23:CY23"/>
    <mergeCell ref="CZ23:DB23"/>
    <mergeCell ref="DC23:DE23"/>
    <mergeCell ref="CZ21:DB21"/>
    <mergeCell ref="DC21:DE21"/>
    <mergeCell ref="BY18:CA18"/>
    <mergeCell ref="CB18:CD18"/>
    <mergeCell ref="BC18:BE18"/>
    <mergeCell ref="DC19:DE19"/>
    <mergeCell ref="B22:D23"/>
    <mergeCell ref="E22:F23"/>
    <mergeCell ref="G22:G23"/>
    <mergeCell ref="H22:I23"/>
    <mergeCell ref="J22:J23"/>
    <mergeCell ref="K22:N23"/>
    <mergeCell ref="CK21:CM21"/>
    <mergeCell ref="AM20:AM21"/>
    <mergeCell ref="AN20:AN21"/>
    <mergeCell ref="AO20:AO21"/>
    <mergeCell ref="AP20:AS21"/>
    <mergeCell ref="AT20:AW21"/>
    <mergeCell ref="AX20:BA21"/>
    <mergeCell ref="U20:V21"/>
    <mergeCell ref="X20:Z21"/>
    <mergeCell ref="AB20:AD21"/>
    <mergeCell ref="AJ20:AJ21"/>
    <mergeCell ref="AK20:AK21"/>
    <mergeCell ref="AL20:AL21"/>
    <mergeCell ref="U22:V23"/>
    <mergeCell ref="DC20:DE20"/>
    <mergeCell ref="DF20:DH20"/>
    <mergeCell ref="DI20:DK20"/>
    <mergeCell ref="CK20:CM20"/>
    <mergeCell ref="CO20:CQ20"/>
    <mergeCell ref="CR20:CV20"/>
    <mergeCell ref="CW20:CY20"/>
    <mergeCell ref="DF19:DH19"/>
    <mergeCell ref="DI19:DK19"/>
    <mergeCell ref="CW19:CY19"/>
    <mergeCell ref="CZ19:DB19"/>
    <mergeCell ref="CZ20:DB20"/>
    <mergeCell ref="G20:G21"/>
    <mergeCell ref="H20:I21"/>
    <mergeCell ref="J20:J21"/>
    <mergeCell ref="K20:N21"/>
    <mergeCell ref="P20:S21"/>
    <mergeCell ref="CE19:CG19"/>
    <mergeCell ref="CK19:CM19"/>
    <mergeCell ref="CO19:CQ19"/>
    <mergeCell ref="CR19:CV19"/>
    <mergeCell ref="AN18:AN19"/>
    <mergeCell ref="AO18:AO19"/>
    <mergeCell ref="AP18:AS19"/>
    <mergeCell ref="AT18:AW19"/>
    <mergeCell ref="AX18:BA19"/>
    <mergeCell ref="X18:Z19"/>
    <mergeCell ref="AB18:AD19"/>
    <mergeCell ref="AJ18:AJ19"/>
    <mergeCell ref="AK18:AK19"/>
    <mergeCell ref="AL18:AL19"/>
    <mergeCell ref="AM18:AM19"/>
    <mergeCell ref="BV20:BX20"/>
    <mergeCell ref="BY20:CA20"/>
    <mergeCell ref="CB20:CD20"/>
    <mergeCell ref="CE20:CG20"/>
    <mergeCell ref="AM16:AO17"/>
    <mergeCell ref="CW16:CY16"/>
    <mergeCell ref="CZ16:DB16"/>
    <mergeCell ref="DC16:DE16"/>
    <mergeCell ref="DC18:DE18"/>
    <mergeCell ref="DF18:DH18"/>
    <mergeCell ref="DI18:DK18"/>
    <mergeCell ref="BC19:BE19"/>
    <mergeCell ref="BG19:BI19"/>
    <mergeCell ref="BJ19:BR19"/>
    <mergeCell ref="BS19:BU19"/>
    <mergeCell ref="BV19:BX19"/>
    <mergeCell ref="BY19:CA19"/>
    <mergeCell ref="CB19:CD19"/>
    <mergeCell ref="CE18:CG18"/>
    <mergeCell ref="CK18:CM18"/>
    <mergeCell ref="CO18:CQ18"/>
    <mergeCell ref="CR18:CV18"/>
    <mergeCell ref="CW18:CY18"/>
    <mergeCell ref="CZ18:DB18"/>
    <mergeCell ref="BG18:BI18"/>
    <mergeCell ref="BJ18:BR18"/>
    <mergeCell ref="BS18:BU18"/>
    <mergeCell ref="BV18:BX18"/>
    <mergeCell ref="AT16:AW17"/>
    <mergeCell ref="AP14:AS14"/>
    <mergeCell ref="AT14:AW14"/>
    <mergeCell ref="AX14:BA14"/>
    <mergeCell ref="DF17:DH17"/>
    <mergeCell ref="DI17:DK17"/>
    <mergeCell ref="B18:D19"/>
    <mergeCell ref="E18:F19"/>
    <mergeCell ref="G18:G19"/>
    <mergeCell ref="H18:I19"/>
    <mergeCell ref="J18:J19"/>
    <mergeCell ref="K18:N19"/>
    <mergeCell ref="P18:S19"/>
    <mergeCell ref="U18:V19"/>
    <mergeCell ref="CK17:CL17"/>
    <mergeCell ref="CO17:CQ17"/>
    <mergeCell ref="CR17:CV17"/>
    <mergeCell ref="CW17:CY17"/>
    <mergeCell ref="CZ17:DB17"/>
    <mergeCell ref="DC17:DE17"/>
    <mergeCell ref="AX16:BA17"/>
    <mergeCell ref="X16:AA17"/>
    <mergeCell ref="AB16:AE17"/>
    <mergeCell ref="AJ16:AL17"/>
    <mergeCell ref="B16:D17"/>
    <mergeCell ref="E16:G17"/>
    <mergeCell ref="H16:J17"/>
    <mergeCell ref="K16:O17"/>
    <mergeCell ref="U16:W17"/>
    <mergeCell ref="DI16:DK16"/>
    <mergeCell ref="BC17:BE17"/>
    <mergeCell ref="BG17:BI17"/>
    <mergeCell ref="BJ17:BR17"/>
    <mergeCell ref="BS17:BU17"/>
    <mergeCell ref="BV17:BX17"/>
    <mergeCell ref="BY17:CA17"/>
    <mergeCell ref="CB17:CD17"/>
    <mergeCell ref="CE17:CG17"/>
    <mergeCell ref="CI17:CJ24"/>
    <mergeCell ref="CE16:CG16"/>
    <mergeCell ref="CH16:CV16"/>
    <mergeCell ref="DF16:DH16"/>
    <mergeCell ref="BB16:BR16"/>
    <mergeCell ref="BS16:BU16"/>
    <mergeCell ref="BV16:BX16"/>
    <mergeCell ref="BY16:CA16"/>
    <mergeCell ref="CB16:CD16"/>
    <mergeCell ref="AP16:AS17"/>
    <mergeCell ref="AP13:AS13"/>
    <mergeCell ref="AT13:AW13"/>
    <mergeCell ref="AX13:BA13"/>
    <mergeCell ref="AX8:BA8"/>
    <mergeCell ref="AP9:AS9"/>
    <mergeCell ref="AT9:AW9"/>
    <mergeCell ref="AX9:BA9"/>
    <mergeCell ref="AP10:AS10"/>
    <mergeCell ref="AT10:AW10"/>
    <mergeCell ref="AX10:BA10"/>
    <mergeCell ref="U1:Z1"/>
    <mergeCell ref="AJ3:AN3"/>
    <mergeCell ref="D4:AD4"/>
    <mergeCell ref="AJ4:AN4"/>
    <mergeCell ref="AP8:AS8"/>
    <mergeCell ref="AT8:AW8"/>
    <mergeCell ref="AP12:AS12"/>
    <mergeCell ref="AT12:AW12"/>
    <mergeCell ref="AX12:BA12"/>
    <mergeCell ref="E9:AE9"/>
    <mergeCell ref="E10:AE10"/>
    <mergeCell ref="E11:AE11"/>
    <mergeCell ref="B12:AE12"/>
    <mergeCell ref="AW39:AZ40"/>
    <mergeCell ref="AW41:AZ42"/>
    <mergeCell ref="BE35:BH36"/>
    <mergeCell ref="BE37:BH38"/>
    <mergeCell ref="BE39:BH40"/>
    <mergeCell ref="BA41:BD42"/>
    <mergeCell ref="AW34:AZ34"/>
    <mergeCell ref="BA34:BD34"/>
    <mergeCell ref="Q34:AD34"/>
    <mergeCell ref="X35:Z35"/>
    <mergeCell ref="AA35:AD35"/>
    <mergeCell ref="X36:Z37"/>
    <mergeCell ref="X38:Z39"/>
    <mergeCell ref="X40:Z41"/>
    <mergeCell ref="E36:H37"/>
    <mergeCell ref="E38:H39"/>
    <mergeCell ref="E40:H41"/>
    <mergeCell ref="I36:N37"/>
    <mergeCell ref="I38:O39"/>
    <mergeCell ref="I40:O41"/>
    <mergeCell ref="B34:O35"/>
    <mergeCell ref="P35:S35"/>
    <mergeCell ref="T35:W35"/>
    <mergeCell ref="P36:S37"/>
    <mergeCell ref="P38:S39"/>
    <mergeCell ref="P40:S41"/>
    <mergeCell ref="T36:W37"/>
    <mergeCell ref="T38:W39"/>
    <mergeCell ref="T40:W41"/>
    <mergeCell ref="B36:D37"/>
    <mergeCell ref="B40:D41"/>
    <mergeCell ref="U52:AE55"/>
    <mergeCell ref="B52:D54"/>
    <mergeCell ref="Q47:S47"/>
    <mergeCell ref="Q48:S48"/>
    <mergeCell ref="Q49:S49"/>
    <mergeCell ref="Q50:S50"/>
    <mergeCell ref="Q51:S51"/>
    <mergeCell ref="K47:M47"/>
    <mergeCell ref="Q52:S54"/>
    <mergeCell ref="E52:G54"/>
    <mergeCell ref="H52:J54"/>
    <mergeCell ref="K52:M54"/>
    <mergeCell ref="N52:P54"/>
    <mergeCell ref="N47:P47"/>
    <mergeCell ref="Z49:AC50"/>
    <mergeCell ref="B50:D50"/>
    <mergeCell ref="E50:G50"/>
    <mergeCell ref="H50:J50"/>
    <mergeCell ref="K50:M50"/>
    <mergeCell ref="N50:P50"/>
    <mergeCell ref="B49:D49"/>
    <mergeCell ref="E49:G49"/>
    <mergeCell ref="H49:J49"/>
    <mergeCell ref="K49:M49"/>
  </mergeCells>
  <phoneticPr fontId="34"/>
  <pageMargins left="0.11811023622047245" right="0.11811023622047245" top="0.35433070866141736" bottom="0.15748031496062992"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W57"/>
  <sheetViews>
    <sheetView showGridLines="0" topLeftCell="BH7" zoomScale="85" zoomScaleNormal="85" workbookViewId="0">
      <selection activeCell="CE29" sqref="CE29"/>
    </sheetView>
  </sheetViews>
  <sheetFormatPr defaultColWidth="3.75" defaultRowHeight="18.75" customHeight="1" x14ac:dyDescent="0.15"/>
  <cols>
    <col min="1" max="1" width="3.5" style="2" customWidth="1"/>
    <col min="2" max="6" width="3.625" style="2" customWidth="1"/>
    <col min="7" max="7" width="4.25" style="2" customWidth="1"/>
    <col min="8" max="8" width="4.125" style="2" customWidth="1"/>
    <col min="9" max="23" width="3.625" style="2" customWidth="1"/>
    <col min="24" max="24" width="6.625" style="2" customWidth="1"/>
    <col min="25" max="25" width="3.625" style="2" customWidth="1"/>
    <col min="26" max="26" width="5.375" style="2" customWidth="1"/>
    <col min="27" max="30" width="3.625" style="2" customWidth="1"/>
    <col min="31" max="34" width="3.75" style="2" customWidth="1"/>
    <col min="35" max="115" width="4.375" style="2" customWidth="1"/>
    <col min="116" max="116" width="4.5" style="2" customWidth="1"/>
    <col min="117" max="16384" width="3.75" style="2"/>
  </cols>
  <sheetData>
    <row r="1" spans="2:115" ht="18.75" customHeight="1" x14ac:dyDescent="0.15">
      <c r="B1" s="1" t="str">
        <f>"令和"&amp;BD32&amp;"年度　みよし市国民健康保険税　試算表"</f>
        <v>令和3年度　みよし市国民健康保険税　試算表</v>
      </c>
      <c r="Q1" s="2" t="s">
        <v>102</v>
      </c>
      <c r="U1" s="248"/>
      <c r="V1" s="248"/>
      <c r="W1" s="248"/>
      <c r="X1" s="248"/>
      <c r="Y1" s="248"/>
      <c r="Z1" s="248"/>
    </row>
    <row r="2" spans="2:115" ht="9.75" customHeight="1" x14ac:dyDescent="0.15"/>
    <row r="3" spans="2:115" ht="18.75" customHeight="1" x14ac:dyDescent="0.15">
      <c r="B3" s="2" t="str">
        <f>"　このエクセルシートに必要事項を入力すると、令和"&amp;BD32&amp;"年度みよし市国民健康保険税額の試算ができます。"</f>
        <v>　このエクセルシートに必要事項を入力すると、令和3年度みよし市国民健康保険税額の試算ができます。</v>
      </c>
      <c r="AJ3" s="249" t="s">
        <v>78</v>
      </c>
      <c r="AK3" s="249"/>
      <c r="AL3" s="249"/>
      <c r="AM3" s="249"/>
      <c r="AN3" s="249"/>
    </row>
    <row r="4" spans="2:115" ht="18.75" customHeight="1" x14ac:dyDescent="0.15">
      <c r="B4" s="3"/>
      <c r="C4" s="4"/>
      <c r="D4" s="250" t="s">
        <v>79</v>
      </c>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J4" s="252"/>
      <c r="AK4" s="252"/>
      <c r="AL4" s="252"/>
      <c r="AM4" s="252"/>
      <c r="AN4" s="252"/>
    </row>
    <row r="5" spans="2:115" ht="9.75" customHeight="1" x14ac:dyDescent="0.15">
      <c r="AF5" s="5"/>
      <c r="AJ5" s="252"/>
      <c r="AK5" s="252"/>
      <c r="AL5" s="252"/>
      <c r="AM5" s="252"/>
      <c r="AN5" s="252"/>
    </row>
    <row r="6" spans="2:115" ht="18.75" customHeight="1" x14ac:dyDescent="0.15">
      <c r="B6" s="2" t="s">
        <v>0</v>
      </c>
    </row>
    <row r="7" spans="2:115" s="7" customFormat="1" ht="17.25" customHeight="1" x14ac:dyDescent="0.15">
      <c r="B7" s="6" t="s">
        <v>1</v>
      </c>
      <c r="C7" s="7" t="s">
        <v>2</v>
      </c>
    </row>
    <row r="8" spans="2:115" s="7" customFormat="1" ht="17.25" customHeight="1" x14ac:dyDescent="0.15">
      <c r="B8" s="6" t="s">
        <v>1</v>
      </c>
      <c r="C8" s="7" t="s">
        <v>3</v>
      </c>
    </row>
    <row r="9" spans="2:115" s="7" customFormat="1" ht="17.25" customHeight="1" x14ac:dyDescent="0.15">
      <c r="B9" s="6" t="s">
        <v>1</v>
      </c>
      <c r="C9" s="34" t="s">
        <v>4</v>
      </c>
      <c r="AP9" s="253" t="s">
        <v>100</v>
      </c>
      <c r="AQ9" s="254"/>
      <c r="AR9" s="254"/>
      <c r="AS9" s="255"/>
      <c r="AT9" s="253" t="s">
        <v>101</v>
      </c>
      <c r="AU9" s="254"/>
      <c r="AV9" s="254"/>
      <c r="AW9" s="255"/>
      <c r="AX9" s="264" t="s">
        <v>99</v>
      </c>
      <c r="AY9" s="265"/>
      <c r="AZ9" s="265"/>
      <c r="BA9" s="266"/>
    </row>
    <row r="10" spans="2:115" s="7" customFormat="1" ht="14.25" customHeight="1" x14ac:dyDescent="0.15">
      <c r="B10" s="6"/>
      <c r="C10" s="7" t="s">
        <v>65</v>
      </c>
      <c r="E10" s="41" t="str">
        <f>IF(AP28+AT28+AX28+AJ4&gt;CA34,"","※")</f>
        <v>※</v>
      </c>
      <c r="F10" s="7" t="s">
        <v>66</v>
      </c>
      <c r="AO10" s="7">
        <v>1</v>
      </c>
      <c r="AP10" s="256">
        <f>IF(AP18&gt;100000,100000,AP18)</f>
        <v>0</v>
      </c>
      <c r="AQ10" s="257"/>
      <c r="AR10" s="257"/>
      <c r="AS10" s="258"/>
      <c r="AT10" s="256">
        <f>IF(AT18&gt;100000,100000,AT18)</f>
        <v>0</v>
      </c>
      <c r="AU10" s="257"/>
      <c r="AV10" s="257"/>
      <c r="AW10" s="258"/>
      <c r="AX10" s="259">
        <f>IF(SUM(AP10:AW10)&lt;=100000,0,SUM(AP10:AW10)-100000)</f>
        <v>0</v>
      </c>
      <c r="AY10" s="260"/>
      <c r="AZ10" s="260"/>
      <c r="BA10" s="261"/>
    </row>
    <row r="11" spans="2:115" s="7" customFormat="1" ht="14.25" customHeight="1" x14ac:dyDescent="0.15">
      <c r="B11" s="6"/>
      <c r="E11" s="41" t="str">
        <f>IF(AND(E10="",AP28+AT28+AX28+AJ4&lt;=(330000+(F30*CA37))),"※","")</f>
        <v/>
      </c>
      <c r="F11" s="7" t="s">
        <v>81</v>
      </c>
      <c r="AE11" s="20"/>
      <c r="AO11" s="7">
        <v>2</v>
      </c>
      <c r="AP11" s="256">
        <f>IF(AP20&gt;100000,100000,AP20)</f>
        <v>0</v>
      </c>
      <c r="AQ11" s="257"/>
      <c r="AR11" s="257"/>
      <c r="AS11" s="258"/>
      <c r="AT11" s="256">
        <f>IF(AT20&gt;100000,100000,AT20)</f>
        <v>0</v>
      </c>
      <c r="AU11" s="257"/>
      <c r="AV11" s="257"/>
      <c r="AW11" s="258"/>
      <c r="AX11" s="259">
        <f>IF(SUM(AP11:AW11)&lt;=100000,0,SUM(AP11:AW11)-100000)</f>
        <v>0</v>
      </c>
      <c r="AY11" s="260"/>
      <c r="AZ11" s="260"/>
      <c r="BA11" s="261"/>
    </row>
    <row r="12" spans="2:115" s="7" customFormat="1" ht="15" customHeight="1" x14ac:dyDescent="0.15">
      <c r="B12" s="6"/>
      <c r="E12" s="41" t="str">
        <f>IF(AND(AP28+AT28+AX28+AJ4&gt;(330000+(F30*CA37)),AP28+AT28+AX28+AJ4&lt;=(330000+(F30*CA40))),"※","")</f>
        <v/>
      </c>
      <c r="F12" s="7" t="s">
        <v>82</v>
      </c>
      <c r="AE12" s="21"/>
      <c r="AO12" s="7">
        <v>3</v>
      </c>
      <c r="AP12" s="256">
        <f>IF(AP22&gt;100000,100000,AP22)</f>
        <v>0</v>
      </c>
      <c r="AQ12" s="257"/>
      <c r="AR12" s="257"/>
      <c r="AS12" s="258"/>
      <c r="AT12" s="256">
        <f>IF(AT22&gt;100000,100000,AT22)</f>
        <v>0</v>
      </c>
      <c r="AU12" s="257"/>
      <c r="AV12" s="257"/>
      <c r="AW12" s="258"/>
      <c r="AX12" s="259">
        <f>IF(SUM(AP12:AW12)&lt;=100000,0,SUM(AP12:AW12)-100000)</f>
        <v>0</v>
      </c>
      <c r="AY12" s="260"/>
      <c r="AZ12" s="260"/>
      <c r="BA12" s="261"/>
    </row>
    <row r="13" spans="2:115" s="7" customFormat="1" ht="15" customHeight="1" x14ac:dyDescent="0.15">
      <c r="B13" s="6"/>
      <c r="C13" s="7" t="s">
        <v>64</v>
      </c>
      <c r="AE13" s="21"/>
      <c r="AO13" s="7">
        <v>4</v>
      </c>
      <c r="AP13" s="256">
        <f>IF(AP24&gt;100000,100000,AP24)</f>
        <v>0</v>
      </c>
      <c r="AQ13" s="257"/>
      <c r="AR13" s="257"/>
      <c r="AS13" s="258"/>
      <c r="AT13" s="256">
        <f>IF(AT24&gt;100000,100000,AT24)</f>
        <v>0</v>
      </c>
      <c r="AU13" s="257"/>
      <c r="AV13" s="257"/>
      <c r="AW13" s="258"/>
      <c r="AX13" s="259">
        <f>IF(SUM(AP13:AW13)&lt;=100000,0,SUM(AP13:AW13)-100000)</f>
        <v>0</v>
      </c>
      <c r="AY13" s="260"/>
      <c r="AZ13" s="260"/>
      <c r="BA13" s="261"/>
    </row>
    <row r="14" spans="2:115" s="7" customFormat="1" ht="17.25" customHeight="1" x14ac:dyDescent="0.15">
      <c r="B14" s="6" t="s">
        <v>1</v>
      </c>
      <c r="C14" s="7" t="s">
        <v>5</v>
      </c>
      <c r="AO14" s="7">
        <v>5</v>
      </c>
      <c r="AP14" s="256">
        <f>IF(AP26&gt;100000,100000,AP26)</f>
        <v>0</v>
      </c>
      <c r="AQ14" s="257"/>
      <c r="AR14" s="257"/>
      <c r="AS14" s="258"/>
      <c r="AT14" s="256">
        <f>IF(AT26&gt;100000,100000,AT26)</f>
        <v>0</v>
      </c>
      <c r="AU14" s="257"/>
      <c r="AV14" s="257"/>
      <c r="AW14" s="258"/>
      <c r="AX14" s="259">
        <f>IF(SUM(AP14:AW14)&lt;=100000,0,SUM(AP14:AW14)-100000)</f>
        <v>0</v>
      </c>
      <c r="AY14" s="260"/>
      <c r="AZ14" s="260"/>
      <c r="BA14" s="261"/>
      <c r="CW14" s="696" t="s">
        <v>90</v>
      </c>
      <c r="CX14" s="696"/>
      <c r="CY14" s="696"/>
      <c r="CZ14" s="696"/>
      <c r="DA14" s="696"/>
      <c r="DB14" s="696"/>
      <c r="DC14" s="696"/>
      <c r="DD14" s="696"/>
      <c r="DE14" s="696"/>
      <c r="DF14" s="696"/>
      <c r="DG14" s="696"/>
      <c r="DH14" s="696"/>
      <c r="DI14" s="696"/>
      <c r="DJ14" s="696"/>
      <c r="DK14" s="696"/>
    </row>
    <row r="15" spans="2:115" ht="9.75" customHeight="1" thickBot="1" x14ac:dyDescent="0.2">
      <c r="BB15" s="8">
        <v>1</v>
      </c>
      <c r="BC15" s="8">
        <v>2</v>
      </c>
      <c r="BD15" s="8">
        <v>3</v>
      </c>
      <c r="BE15" s="8">
        <v>4</v>
      </c>
      <c r="BF15" s="8">
        <v>5</v>
      </c>
      <c r="BG15" s="8">
        <v>6</v>
      </c>
      <c r="BH15" s="8">
        <v>7</v>
      </c>
      <c r="BI15" s="8">
        <v>8</v>
      </c>
      <c r="BJ15" s="8">
        <v>9</v>
      </c>
      <c r="BK15" s="8">
        <v>10</v>
      </c>
      <c r="BL15" s="8">
        <v>11</v>
      </c>
      <c r="BM15" s="8">
        <v>12</v>
      </c>
      <c r="BN15" s="8">
        <v>13</v>
      </c>
      <c r="BO15" s="8">
        <v>14</v>
      </c>
      <c r="BP15" s="8">
        <v>15</v>
      </c>
      <c r="BQ15" s="8">
        <v>16</v>
      </c>
      <c r="BR15" s="8">
        <v>17</v>
      </c>
      <c r="BS15" s="8">
        <v>18</v>
      </c>
      <c r="BT15" s="8">
        <v>19</v>
      </c>
      <c r="BU15" s="8">
        <v>20</v>
      </c>
      <c r="BV15" s="8">
        <v>21</v>
      </c>
      <c r="BW15" s="8">
        <v>22</v>
      </c>
      <c r="BX15" s="8">
        <v>23</v>
      </c>
      <c r="BY15" s="8">
        <v>24</v>
      </c>
      <c r="BZ15" s="8">
        <v>25</v>
      </c>
      <c r="CA15" s="8">
        <v>26</v>
      </c>
      <c r="CB15" s="8">
        <v>27</v>
      </c>
      <c r="CC15" s="8">
        <v>28</v>
      </c>
      <c r="CD15" s="8">
        <v>29</v>
      </c>
      <c r="CE15" s="8">
        <v>30</v>
      </c>
      <c r="CF15" s="8">
        <v>31</v>
      </c>
      <c r="CG15" s="8">
        <v>32</v>
      </c>
      <c r="CH15" s="8">
        <v>1</v>
      </c>
      <c r="CI15" s="8">
        <v>2</v>
      </c>
      <c r="CJ15" s="8">
        <v>3</v>
      </c>
      <c r="CK15" s="8">
        <v>4</v>
      </c>
      <c r="CL15" s="8">
        <v>5</v>
      </c>
      <c r="CM15" s="8">
        <v>6</v>
      </c>
      <c r="CN15" s="8">
        <v>7</v>
      </c>
      <c r="CO15" s="8">
        <v>8</v>
      </c>
      <c r="CP15" s="8">
        <v>9</v>
      </c>
      <c r="CQ15" s="8">
        <v>10</v>
      </c>
      <c r="CR15" s="8">
        <v>11</v>
      </c>
      <c r="CS15" s="8">
        <v>12</v>
      </c>
      <c r="CT15" s="8">
        <v>13</v>
      </c>
      <c r="CU15" s="8">
        <v>14</v>
      </c>
      <c r="CV15" s="8">
        <v>15</v>
      </c>
      <c r="CW15" s="8">
        <v>16</v>
      </c>
      <c r="CX15" s="8">
        <v>17</v>
      </c>
      <c r="CY15" s="8">
        <v>18</v>
      </c>
      <c r="CZ15" s="8">
        <v>19</v>
      </c>
      <c r="DA15" s="8">
        <v>20</v>
      </c>
      <c r="DB15" s="8">
        <v>21</v>
      </c>
      <c r="DC15" s="8">
        <v>22</v>
      </c>
      <c r="DD15" s="8">
        <v>23</v>
      </c>
      <c r="DE15" s="8">
        <v>24</v>
      </c>
      <c r="DF15" s="8">
        <v>25</v>
      </c>
      <c r="DG15" s="8">
        <v>26</v>
      </c>
      <c r="DH15" s="8">
        <v>27</v>
      </c>
      <c r="DI15" s="8">
        <v>28</v>
      </c>
      <c r="DJ15" s="8">
        <v>29</v>
      </c>
      <c r="DK15" s="8">
        <v>30</v>
      </c>
    </row>
    <row r="16" spans="2:115" ht="20.25" customHeight="1" x14ac:dyDescent="0.15">
      <c r="B16" s="103" t="s">
        <v>6</v>
      </c>
      <c r="C16" s="104"/>
      <c r="D16" s="172"/>
      <c r="E16" s="171" t="str">
        <f>"令和"&amp;BD32&amp;"年1月1日
時点の年齢"</f>
        <v>令和3年1月1日
時点の年齢</v>
      </c>
      <c r="F16" s="104"/>
      <c r="G16" s="172"/>
      <c r="H16" s="171" t="s">
        <v>80</v>
      </c>
      <c r="I16" s="104"/>
      <c r="J16" s="172"/>
      <c r="K16" s="171" t="s">
        <v>7</v>
      </c>
      <c r="L16" s="104"/>
      <c r="M16" s="104"/>
      <c r="N16" s="104"/>
      <c r="O16" s="172"/>
      <c r="P16" s="171" t="s">
        <v>8</v>
      </c>
      <c r="Q16" s="104"/>
      <c r="R16" s="104"/>
      <c r="S16" s="104"/>
      <c r="T16" s="48"/>
      <c r="U16" s="171" t="s">
        <v>62</v>
      </c>
      <c r="V16" s="104"/>
      <c r="W16" s="172"/>
      <c r="X16" s="171" t="s">
        <v>9</v>
      </c>
      <c r="Y16" s="104"/>
      <c r="Z16" s="104"/>
      <c r="AA16" s="105"/>
      <c r="AB16" s="329" t="s">
        <v>83</v>
      </c>
      <c r="AC16" s="330"/>
      <c r="AD16" s="330"/>
      <c r="AE16" s="331"/>
      <c r="AJ16" s="216" t="s">
        <v>10</v>
      </c>
      <c r="AK16" s="217"/>
      <c r="AL16" s="217"/>
      <c r="AM16" s="335" t="s">
        <v>11</v>
      </c>
      <c r="AN16" s="182"/>
      <c r="AO16" s="336"/>
      <c r="AP16" s="294" t="s">
        <v>12</v>
      </c>
      <c r="AQ16" s="295"/>
      <c r="AR16" s="295"/>
      <c r="AS16" s="296"/>
      <c r="AT16" s="294" t="s">
        <v>13</v>
      </c>
      <c r="AU16" s="295"/>
      <c r="AV16" s="295"/>
      <c r="AW16" s="296"/>
      <c r="AX16" s="294" t="s">
        <v>63</v>
      </c>
      <c r="AY16" s="295"/>
      <c r="AZ16" s="295"/>
      <c r="BA16" s="296"/>
      <c r="BB16" s="577" t="s">
        <v>14</v>
      </c>
      <c r="BC16" s="242"/>
      <c r="BD16" s="242"/>
      <c r="BE16" s="242"/>
      <c r="BF16" s="242"/>
      <c r="BG16" s="242"/>
      <c r="BH16" s="242"/>
      <c r="BI16" s="242"/>
      <c r="BJ16" s="242"/>
      <c r="BK16" s="242"/>
      <c r="BL16" s="242"/>
      <c r="BM16" s="242"/>
      <c r="BN16" s="242"/>
      <c r="BO16" s="242"/>
      <c r="BP16" s="242"/>
      <c r="BQ16" s="242"/>
      <c r="BR16" s="293"/>
      <c r="BS16" s="217" t="s">
        <v>15</v>
      </c>
      <c r="BT16" s="217"/>
      <c r="BU16" s="217"/>
      <c r="BV16" s="217" t="s">
        <v>16</v>
      </c>
      <c r="BW16" s="217"/>
      <c r="BX16" s="217"/>
      <c r="BY16" s="217" t="s">
        <v>17</v>
      </c>
      <c r="BZ16" s="217"/>
      <c r="CA16" s="217"/>
      <c r="CB16" s="217" t="s">
        <v>18</v>
      </c>
      <c r="CC16" s="217"/>
      <c r="CD16" s="217"/>
      <c r="CE16" s="217" t="s">
        <v>19</v>
      </c>
      <c r="CF16" s="217"/>
      <c r="CG16" s="217"/>
      <c r="CH16" s="578" t="s">
        <v>20</v>
      </c>
      <c r="CI16" s="579"/>
      <c r="CJ16" s="579"/>
      <c r="CK16" s="579"/>
      <c r="CL16" s="579"/>
      <c r="CM16" s="579"/>
      <c r="CN16" s="579"/>
      <c r="CO16" s="579"/>
      <c r="CP16" s="579"/>
      <c r="CQ16" s="579"/>
      <c r="CR16" s="579"/>
      <c r="CS16" s="579"/>
      <c r="CT16" s="579"/>
      <c r="CU16" s="579"/>
      <c r="CV16" s="580"/>
      <c r="CW16" s="217" t="s">
        <v>15</v>
      </c>
      <c r="CX16" s="217"/>
      <c r="CY16" s="217"/>
      <c r="CZ16" s="217" t="s">
        <v>16</v>
      </c>
      <c r="DA16" s="217"/>
      <c r="DB16" s="217"/>
      <c r="DC16" s="217" t="s">
        <v>17</v>
      </c>
      <c r="DD16" s="217"/>
      <c r="DE16" s="217"/>
      <c r="DF16" s="217" t="s">
        <v>18</v>
      </c>
      <c r="DG16" s="217"/>
      <c r="DH16" s="217"/>
      <c r="DI16" s="217" t="s">
        <v>19</v>
      </c>
      <c r="DJ16" s="217"/>
      <c r="DK16" s="288"/>
    </row>
    <row r="17" spans="2:127" ht="20.25" customHeight="1" thickBot="1" x14ac:dyDescent="0.2">
      <c r="B17" s="109"/>
      <c r="C17" s="110"/>
      <c r="D17" s="276"/>
      <c r="E17" s="275"/>
      <c r="F17" s="110"/>
      <c r="G17" s="276"/>
      <c r="H17" s="275"/>
      <c r="I17" s="110"/>
      <c r="J17" s="276"/>
      <c r="K17" s="275"/>
      <c r="L17" s="110"/>
      <c r="M17" s="110"/>
      <c r="N17" s="110"/>
      <c r="O17" s="276"/>
      <c r="P17" s="275"/>
      <c r="Q17" s="110"/>
      <c r="R17" s="110"/>
      <c r="S17" s="110"/>
      <c r="T17" s="49"/>
      <c r="U17" s="275"/>
      <c r="V17" s="110"/>
      <c r="W17" s="276"/>
      <c r="X17" s="275"/>
      <c r="Y17" s="110"/>
      <c r="Z17" s="110"/>
      <c r="AA17" s="111"/>
      <c r="AB17" s="332"/>
      <c r="AC17" s="333"/>
      <c r="AD17" s="333"/>
      <c r="AE17" s="334"/>
      <c r="AJ17" s="218"/>
      <c r="AK17" s="219"/>
      <c r="AL17" s="219"/>
      <c r="AM17" s="337"/>
      <c r="AN17" s="338"/>
      <c r="AO17" s="339"/>
      <c r="AP17" s="297"/>
      <c r="AQ17" s="298"/>
      <c r="AR17" s="298"/>
      <c r="AS17" s="299"/>
      <c r="AT17" s="297"/>
      <c r="AU17" s="298"/>
      <c r="AV17" s="298"/>
      <c r="AW17" s="299"/>
      <c r="AX17" s="297"/>
      <c r="AY17" s="298"/>
      <c r="AZ17" s="298"/>
      <c r="BA17" s="299"/>
      <c r="BB17" s="10">
        <v>1</v>
      </c>
      <c r="BC17" s="279">
        <v>0</v>
      </c>
      <c r="BD17" s="279"/>
      <c r="BE17" s="279"/>
      <c r="BF17" s="9" t="s">
        <v>21</v>
      </c>
      <c r="BG17" s="279">
        <v>550999</v>
      </c>
      <c r="BH17" s="279"/>
      <c r="BI17" s="279"/>
      <c r="BJ17" s="219">
        <v>0</v>
      </c>
      <c r="BK17" s="219"/>
      <c r="BL17" s="219"/>
      <c r="BM17" s="219"/>
      <c r="BN17" s="219"/>
      <c r="BO17" s="219"/>
      <c r="BP17" s="219"/>
      <c r="BQ17" s="219"/>
      <c r="BR17" s="239"/>
      <c r="BS17" s="280">
        <v>0</v>
      </c>
      <c r="BT17" s="280"/>
      <c r="BU17" s="280"/>
      <c r="BV17" s="280">
        <v>0</v>
      </c>
      <c r="BW17" s="280"/>
      <c r="BX17" s="280"/>
      <c r="BY17" s="280">
        <v>0</v>
      </c>
      <c r="BZ17" s="280"/>
      <c r="CA17" s="280"/>
      <c r="CB17" s="280">
        <v>0</v>
      </c>
      <c r="CC17" s="280"/>
      <c r="CD17" s="280"/>
      <c r="CE17" s="280">
        <v>0</v>
      </c>
      <c r="CF17" s="280"/>
      <c r="CG17" s="280"/>
      <c r="CH17" s="9">
        <v>1</v>
      </c>
      <c r="CI17" s="589">
        <v>65</v>
      </c>
      <c r="CJ17" s="590"/>
      <c r="CK17" s="581"/>
      <c r="CL17" s="582"/>
      <c r="CM17" s="54"/>
      <c r="CN17" s="56" t="s">
        <v>98</v>
      </c>
      <c r="CO17" s="348">
        <v>900000</v>
      </c>
      <c r="CP17" s="348"/>
      <c r="CQ17" s="576"/>
      <c r="CR17" s="351" t="s">
        <v>95</v>
      </c>
      <c r="CS17" s="351"/>
      <c r="CT17" s="351"/>
      <c r="CU17" s="351"/>
      <c r="CV17" s="351"/>
      <c r="CW17" s="340">
        <v>0</v>
      </c>
      <c r="CX17" s="341"/>
      <c r="CY17" s="342"/>
      <c r="CZ17" s="340">
        <v>0</v>
      </c>
      <c r="DA17" s="341"/>
      <c r="DB17" s="342"/>
      <c r="DC17" s="340">
        <v>0</v>
      </c>
      <c r="DD17" s="341"/>
      <c r="DE17" s="342"/>
      <c r="DF17" s="340">
        <v>0</v>
      </c>
      <c r="DG17" s="341"/>
      <c r="DH17" s="342"/>
      <c r="DI17" s="340">
        <v>0</v>
      </c>
      <c r="DJ17" s="341"/>
      <c r="DK17" s="343"/>
    </row>
    <row r="18" spans="2:127" ht="18" customHeight="1" x14ac:dyDescent="0.15">
      <c r="B18" s="304" t="s">
        <v>22</v>
      </c>
      <c r="C18" s="305"/>
      <c r="D18" s="306"/>
      <c r="E18" s="310">
        <f>試算入力用!$E$18</f>
        <v>0</v>
      </c>
      <c r="F18" s="311"/>
      <c r="G18" s="314" t="s">
        <v>23</v>
      </c>
      <c r="H18" s="310">
        <f>試算入力用!$H$18</f>
        <v>0</v>
      </c>
      <c r="I18" s="311"/>
      <c r="J18" s="314" t="s">
        <v>23</v>
      </c>
      <c r="K18" s="316">
        <f>試算入力用!$K$18</f>
        <v>0</v>
      </c>
      <c r="L18" s="317"/>
      <c r="M18" s="317"/>
      <c r="N18" s="317"/>
      <c r="O18" s="47" t="s">
        <v>24</v>
      </c>
      <c r="P18" s="316">
        <f>試算入力用!$P$18</f>
        <v>0</v>
      </c>
      <c r="Q18" s="317"/>
      <c r="R18" s="317"/>
      <c r="S18" s="317"/>
      <c r="T18" s="47" t="s">
        <v>24</v>
      </c>
      <c r="U18" s="600">
        <f>試算入力用!$U$18</f>
        <v>0</v>
      </c>
      <c r="V18" s="601"/>
      <c r="W18" s="35" t="s">
        <v>24</v>
      </c>
      <c r="X18" s="615">
        <f>IF(E18="","",SUM(AP18:BA19)-$AX$10)</f>
        <v>0</v>
      </c>
      <c r="Y18" s="615"/>
      <c r="Z18" s="615"/>
      <c r="AA18" s="35" t="s">
        <v>24</v>
      </c>
      <c r="AB18" s="614">
        <f>IF(X18="","",IF(X18&lt;=430000,0,X18-430000))</f>
        <v>0</v>
      </c>
      <c r="AC18" s="615"/>
      <c r="AD18" s="615"/>
      <c r="AE18" s="35" t="s">
        <v>24</v>
      </c>
      <c r="AJ18" s="378">
        <f>IF(K18="","",IF(K18&lt;BC18,1,IF(K18&lt;BC19,2,IF(K18&lt;BC20,3,IF(K18&lt;BC21,4,IF(K18&lt;BC22,5,IF(K18&lt;BC23,6,"")))))))</f>
        <v>1</v>
      </c>
      <c r="AK18" s="379" t="str">
        <f>IF(K18="","",IF(K18&lt;$BC$23,"",IF(K18&lt;$BC$24,7,IF(K18&lt;$BC$25,8,IF(K18&lt;$BC$26,9,IF(K18&lt;$BC$27,10,IF(K18&gt;=$BC$27,11,"")))))))</f>
        <v/>
      </c>
      <c r="AL18" s="361">
        <f>IF(AJ18="",AK18,AJ18)</f>
        <v>1</v>
      </c>
      <c r="AM18" s="380" t="str">
        <f>IF(P18="","",IF(E18&lt;65,"",IF(E18&gt;=65,IF(P18&lt;=$CO$17,1,IF(P18&lt;=$CO$18,2,IF(P18&lt;=$CO$19,3,IF(P18&lt;=$CO$20,4,IF(P18&lt;=$CO$21,5,IF(P18&lt;=$CO$22,6,IF(P18&lt;=$CO$23,7,IF(P18&gt;=$CK$24,8,"")))))))))))</f>
        <v/>
      </c>
      <c r="AN18" s="359">
        <f>IF($P$18="","",IF($E$18-1&gt;=65,"",IF($E$18-1&lt;65,IF($P$18&lt;=$CO$25,9,IF($P$18&lt;=$CO$26,10,IF($P$18&lt;=$CO$27,11,IF($P$18&lt;=$CO$28,12,IF($P$18&lt;=$CO$29,13,IF($P$18&lt;=$CO$30,14,IF($P$18&lt;=$CO$31,15,IF($P$18&gt;=$CK$32,16,"")))))))))))</f>
        <v>9</v>
      </c>
      <c r="AO18" s="361">
        <f>IF(AM18="",AN18,AM18)</f>
        <v>9</v>
      </c>
      <c r="AP18" s="280">
        <f>IF(AL18="",0,VLOOKUP(AL18,BB17:CG27,18,0))</f>
        <v>0</v>
      </c>
      <c r="AQ18" s="280"/>
      <c r="AR18" s="280"/>
      <c r="AS18" s="280"/>
      <c r="AT18" s="362">
        <f>IF(AO18="",0,VLOOKUP(AO18,CH17:DK32,16,0))</f>
        <v>0</v>
      </c>
      <c r="AU18" s="363"/>
      <c r="AV18" s="363"/>
      <c r="AW18" s="364"/>
      <c r="AX18" s="368">
        <f>U18</f>
        <v>0</v>
      </c>
      <c r="AY18" s="369"/>
      <c r="AZ18" s="369"/>
      <c r="BA18" s="423"/>
      <c r="BB18" s="10">
        <v>2</v>
      </c>
      <c r="BC18" s="279">
        <v>551000</v>
      </c>
      <c r="BD18" s="279"/>
      <c r="BE18" s="279"/>
      <c r="BF18" s="9" t="s">
        <v>21</v>
      </c>
      <c r="BG18" s="279">
        <v>1618999</v>
      </c>
      <c r="BH18" s="279"/>
      <c r="BI18" s="279"/>
      <c r="BJ18" s="219" t="s">
        <v>84</v>
      </c>
      <c r="BK18" s="219"/>
      <c r="BL18" s="219"/>
      <c r="BM18" s="219"/>
      <c r="BN18" s="219"/>
      <c r="BO18" s="219"/>
      <c r="BP18" s="219"/>
      <c r="BQ18" s="219"/>
      <c r="BR18" s="239"/>
      <c r="BS18" s="280">
        <f>K18-550000</f>
        <v>-550000</v>
      </c>
      <c r="BT18" s="280"/>
      <c r="BU18" s="280"/>
      <c r="BV18" s="280">
        <f>K20-550000</f>
        <v>-550000</v>
      </c>
      <c r="BW18" s="280"/>
      <c r="BX18" s="280"/>
      <c r="BY18" s="280">
        <f>K22-550000</f>
        <v>-550000</v>
      </c>
      <c r="BZ18" s="280"/>
      <c r="CA18" s="280"/>
      <c r="CB18" s="280">
        <f>K24-550000</f>
        <v>-550000</v>
      </c>
      <c r="CC18" s="280"/>
      <c r="CD18" s="280"/>
      <c r="CE18" s="280">
        <f>K26-550000</f>
        <v>-550000</v>
      </c>
      <c r="CF18" s="280"/>
      <c r="CG18" s="280"/>
      <c r="CH18" s="9">
        <v>2</v>
      </c>
      <c r="CI18" s="284"/>
      <c r="CJ18" s="285"/>
      <c r="CK18" s="409">
        <f>CO17+1</f>
        <v>900001</v>
      </c>
      <c r="CL18" s="347"/>
      <c r="CM18" s="347"/>
      <c r="CN18" s="55" t="s">
        <v>98</v>
      </c>
      <c r="CO18" s="348">
        <v>1000000</v>
      </c>
      <c r="CP18" s="348"/>
      <c r="CQ18" s="576"/>
      <c r="CR18" s="351" t="s">
        <v>95</v>
      </c>
      <c r="CS18" s="351"/>
      <c r="CT18" s="351"/>
      <c r="CU18" s="351"/>
      <c r="CV18" s="351"/>
      <c r="CW18" s="340">
        <v>0</v>
      </c>
      <c r="CX18" s="341"/>
      <c r="CY18" s="342"/>
      <c r="CZ18" s="340">
        <v>0</v>
      </c>
      <c r="DA18" s="341"/>
      <c r="DB18" s="342"/>
      <c r="DC18" s="340">
        <v>0</v>
      </c>
      <c r="DD18" s="341"/>
      <c r="DE18" s="342"/>
      <c r="DF18" s="340">
        <v>0</v>
      </c>
      <c r="DG18" s="341"/>
      <c r="DH18" s="342"/>
      <c r="DI18" s="340">
        <v>0</v>
      </c>
      <c r="DJ18" s="341"/>
      <c r="DK18" s="343"/>
    </row>
    <row r="19" spans="2:127" ht="18" customHeight="1" x14ac:dyDescent="0.15">
      <c r="B19" s="307"/>
      <c r="C19" s="308"/>
      <c r="D19" s="309"/>
      <c r="E19" s="312"/>
      <c r="F19" s="313"/>
      <c r="G19" s="315"/>
      <c r="H19" s="312"/>
      <c r="I19" s="313"/>
      <c r="J19" s="315"/>
      <c r="K19" s="355"/>
      <c r="L19" s="356"/>
      <c r="M19" s="356"/>
      <c r="N19" s="356"/>
      <c r="O19" s="46"/>
      <c r="P19" s="355"/>
      <c r="Q19" s="356"/>
      <c r="R19" s="356"/>
      <c r="S19" s="356"/>
      <c r="T19" s="46"/>
      <c r="U19" s="602"/>
      <c r="V19" s="603"/>
      <c r="W19" s="36"/>
      <c r="X19" s="611"/>
      <c r="Y19" s="611"/>
      <c r="Z19" s="611"/>
      <c r="AA19" s="36"/>
      <c r="AB19" s="610"/>
      <c r="AC19" s="611"/>
      <c r="AD19" s="611"/>
      <c r="AE19" s="36"/>
      <c r="AJ19" s="378"/>
      <c r="AK19" s="379"/>
      <c r="AL19" s="361"/>
      <c r="AM19" s="381"/>
      <c r="AN19" s="360"/>
      <c r="AO19" s="361"/>
      <c r="AP19" s="280"/>
      <c r="AQ19" s="280"/>
      <c r="AR19" s="280"/>
      <c r="AS19" s="280"/>
      <c r="AT19" s="365"/>
      <c r="AU19" s="366"/>
      <c r="AV19" s="366"/>
      <c r="AW19" s="367"/>
      <c r="AX19" s="370"/>
      <c r="AY19" s="371"/>
      <c r="AZ19" s="371"/>
      <c r="BA19" s="401"/>
      <c r="BB19" s="10">
        <v>3</v>
      </c>
      <c r="BC19" s="279">
        <v>1619000</v>
      </c>
      <c r="BD19" s="279"/>
      <c r="BE19" s="279"/>
      <c r="BF19" s="9" t="s">
        <v>21</v>
      </c>
      <c r="BG19" s="279">
        <v>1619999</v>
      </c>
      <c r="BH19" s="279"/>
      <c r="BI19" s="279"/>
      <c r="BJ19" s="279">
        <v>1069000</v>
      </c>
      <c r="BK19" s="279"/>
      <c r="BL19" s="279"/>
      <c r="BM19" s="279"/>
      <c r="BN19" s="279"/>
      <c r="BO19" s="279"/>
      <c r="BP19" s="279"/>
      <c r="BQ19" s="279"/>
      <c r="BR19" s="344"/>
      <c r="BS19" s="280">
        <f>BJ19</f>
        <v>1069000</v>
      </c>
      <c r="BT19" s="280"/>
      <c r="BU19" s="280"/>
      <c r="BV19" s="280">
        <f>BJ19</f>
        <v>1069000</v>
      </c>
      <c r="BW19" s="280"/>
      <c r="BX19" s="280"/>
      <c r="BY19" s="280">
        <f>BJ19</f>
        <v>1069000</v>
      </c>
      <c r="BZ19" s="280"/>
      <c r="CA19" s="280"/>
      <c r="CB19" s="280">
        <f>BJ19</f>
        <v>1069000</v>
      </c>
      <c r="CC19" s="280"/>
      <c r="CD19" s="280"/>
      <c r="CE19" s="280">
        <f>BJ19</f>
        <v>1069000</v>
      </c>
      <c r="CF19" s="280"/>
      <c r="CG19" s="280"/>
      <c r="CH19" s="9">
        <v>3</v>
      </c>
      <c r="CI19" s="284"/>
      <c r="CJ19" s="285"/>
      <c r="CK19" s="409">
        <f t="shared" ref="CK19:CK24" si="0">CO18+1</f>
        <v>1000001</v>
      </c>
      <c r="CL19" s="347"/>
      <c r="CM19" s="347"/>
      <c r="CN19" s="55" t="s">
        <v>98</v>
      </c>
      <c r="CO19" s="348">
        <v>1100000</v>
      </c>
      <c r="CP19" s="348"/>
      <c r="CQ19" s="576"/>
      <c r="CR19" s="351" t="s">
        <v>95</v>
      </c>
      <c r="CS19" s="351"/>
      <c r="CT19" s="351"/>
      <c r="CU19" s="351"/>
      <c r="CV19" s="351"/>
      <c r="CW19" s="340">
        <v>0</v>
      </c>
      <c r="CX19" s="341"/>
      <c r="CY19" s="342"/>
      <c r="CZ19" s="340">
        <v>0</v>
      </c>
      <c r="DA19" s="341"/>
      <c r="DB19" s="342"/>
      <c r="DC19" s="340">
        <v>0</v>
      </c>
      <c r="DD19" s="341"/>
      <c r="DE19" s="342"/>
      <c r="DF19" s="340">
        <v>0</v>
      </c>
      <c r="DG19" s="341"/>
      <c r="DH19" s="342"/>
      <c r="DI19" s="340">
        <v>0</v>
      </c>
      <c r="DJ19" s="341"/>
      <c r="DK19" s="343"/>
      <c r="DW19" s="13"/>
    </row>
    <row r="20" spans="2:127" ht="18" customHeight="1" x14ac:dyDescent="0.15">
      <c r="B20" s="386" t="s">
        <v>25</v>
      </c>
      <c r="C20" s="387"/>
      <c r="D20" s="388"/>
      <c r="E20" s="353">
        <f>試算入力用!$E$20</f>
        <v>0</v>
      </c>
      <c r="F20" s="354"/>
      <c r="G20" s="352" t="s">
        <v>23</v>
      </c>
      <c r="H20" s="353">
        <f>試算入力用!$H$20</f>
        <v>0</v>
      </c>
      <c r="I20" s="354"/>
      <c r="J20" s="352" t="s">
        <v>23</v>
      </c>
      <c r="K20" s="357">
        <f>試算入力用!$K$20</f>
        <v>0</v>
      </c>
      <c r="L20" s="358"/>
      <c r="M20" s="358"/>
      <c r="N20" s="358"/>
      <c r="O20" s="43" t="s">
        <v>24</v>
      </c>
      <c r="P20" s="357">
        <f>試算入力用!$P$20</f>
        <v>0</v>
      </c>
      <c r="Q20" s="358"/>
      <c r="R20" s="358"/>
      <c r="S20" s="358"/>
      <c r="T20" s="43" t="s">
        <v>24</v>
      </c>
      <c r="U20" s="604">
        <f>試算入力用!$U$20</f>
        <v>0</v>
      </c>
      <c r="V20" s="605"/>
      <c r="W20" s="42" t="s">
        <v>24</v>
      </c>
      <c r="X20" s="595">
        <f>IF(E20="","",SUM(AP20:BA21)-$AX$11)</f>
        <v>0</v>
      </c>
      <c r="Y20" s="595"/>
      <c r="Z20" s="595"/>
      <c r="AA20" s="37" t="s">
        <v>24</v>
      </c>
      <c r="AB20" s="594">
        <f>IF(X20="","",IF(X20&lt;=430000,0,X20-430000))</f>
        <v>0</v>
      </c>
      <c r="AC20" s="595"/>
      <c r="AD20" s="595"/>
      <c r="AE20" s="42" t="s">
        <v>24</v>
      </c>
      <c r="AJ20" s="378">
        <f>IF(K20="","",IF(K20&lt;BC18,1,IF(K20&lt;BC19,2,IF(K20&lt;BC20,3,IF(K20&lt;BC21,4,IF(K20&lt;BC22,5,IF(K20&lt;BC23,6,"")))))))</f>
        <v>1</v>
      </c>
      <c r="AK20" s="379" t="str">
        <f>IF(K20="","",IF(K20&lt;$BC$23,"",IF(K20&lt;$BC$24,7,IF(K20&lt;$BC$25,8,IF(K20&lt;$BC$26,9,IF(K20&lt;$BC$27,10,IF(K20&gt;=$BC$27,11,"")))))))</f>
        <v/>
      </c>
      <c r="AL20" s="361">
        <f>IF(AJ20="",AK20,AJ20)</f>
        <v>1</v>
      </c>
      <c r="AM20" s="380" t="str">
        <f t="shared" ref="AM20" si="1">IF(P20="","",IF(E20&lt;65,"",IF(E20&gt;=65,IF(P20&lt;=$CO$17,1,IF(P20&lt;=$CO$18,2,IF(P20&lt;=$CO$19,3,IF(P20&lt;=$CO$20,4,IF(P20&lt;=$CO$21,5,IF(P20&lt;=$CO$22,6,IF(P20&lt;=$CO$23,7,IF(P20&gt;=$CK$24,8,"")))))))))))</f>
        <v/>
      </c>
      <c r="AN20" s="359">
        <f>IF($P$20="","",IF($E$20-1&gt;=65,"",IF($E$20-1&lt;65,IF($P$20&lt;=$CO$25,9,IF($P$20&lt;=$CO$26,10,IF($P$20&lt;=$CO$27,11,IF($P$20&lt;=$CO$28,12,IF($P$20&lt;=$CO$29,13,IF($P$20&lt;=$CO$30,14,IF($P$20&lt;=$CO$31,15,IF($P$20&gt;=$CK$32,16,"")))))))))))</f>
        <v>9</v>
      </c>
      <c r="AO20" s="361">
        <f>IF(AM20="",AN20,AM20)</f>
        <v>9</v>
      </c>
      <c r="AP20" s="280">
        <f>IF(AL20="",0,VLOOKUP(AL20,BB17:CG27,21,0))</f>
        <v>0</v>
      </c>
      <c r="AQ20" s="280"/>
      <c r="AR20" s="280"/>
      <c r="AS20" s="280"/>
      <c r="AT20" s="362">
        <f>IF(AO20="",0,VLOOKUP(AO20,CH17:DK32,19,0))</f>
        <v>0</v>
      </c>
      <c r="AU20" s="363"/>
      <c r="AV20" s="363"/>
      <c r="AW20" s="364"/>
      <c r="AX20" s="368">
        <f>U20</f>
        <v>0</v>
      </c>
      <c r="AY20" s="369"/>
      <c r="AZ20" s="369"/>
      <c r="BA20" s="423"/>
      <c r="BB20" s="10">
        <v>4</v>
      </c>
      <c r="BC20" s="279">
        <v>1620000</v>
      </c>
      <c r="BD20" s="279"/>
      <c r="BE20" s="279"/>
      <c r="BF20" s="9" t="s">
        <v>21</v>
      </c>
      <c r="BG20" s="279">
        <v>1621999</v>
      </c>
      <c r="BH20" s="279"/>
      <c r="BI20" s="279"/>
      <c r="BJ20" s="279">
        <v>1070000</v>
      </c>
      <c r="BK20" s="279"/>
      <c r="BL20" s="279"/>
      <c r="BM20" s="279"/>
      <c r="BN20" s="279"/>
      <c r="BO20" s="279"/>
      <c r="BP20" s="279"/>
      <c r="BQ20" s="279"/>
      <c r="BR20" s="344"/>
      <c r="BS20" s="280">
        <f>BJ20</f>
        <v>1070000</v>
      </c>
      <c r="BT20" s="280"/>
      <c r="BU20" s="280"/>
      <c r="BV20" s="280">
        <f>BJ20</f>
        <v>1070000</v>
      </c>
      <c r="BW20" s="280"/>
      <c r="BX20" s="280"/>
      <c r="BY20" s="280">
        <f>BJ20</f>
        <v>1070000</v>
      </c>
      <c r="BZ20" s="280"/>
      <c r="CA20" s="280"/>
      <c r="CB20" s="280">
        <f>BJ20</f>
        <v>1070000</v>
      </c>
      <c r="CC20" s="280"/>
      <c r="CD20" s="280"/>
      <c r="CE20" s="280">
        <f>BJ20</f>
        <v>1070000</v>
      </c>
      <c r="CF20" s="280"/>
      <c r="CG20" s="280"/>
      <c r="CH20" s="9">
        <v>4</v>
      </c>
      <c r="CI20" s="284"/>
      <c r="CJ20" s="285"/>
      <c r="CK20" s="409">
        <f t="shared" si="0"/>
        <v>1100001</v>
      </c>
      <c r="CL20" s="347"/>
      <c r="CM20" s="347"/>
      <c r="CN20" s="55" t="s">
        <v>98</v>
      </c>
      <c r="CO20" s="348">
        <v>3300000</v>
      </c>
      <c r="CP20" s="348"/>
      <c r="CQ20" s="576"/>
      <c r="CR20" s="583" t="s">
        <v>91</v>
      </c>
      <c r="CS20" s="584"/>
      <c r="CT20" s="584"/>
      <c r="CU20" s="584"/>
      <c r="CV20" s="585"/>
      <c r="CW20" s="340">
        <f>IF(P18-1100000&gt;0,P18-1100000,0)</f>
        <v>0</v>
      </c>
      <c r="CX20" s="341"/>
      <c r="CY20" s="342"/>
      <c r="CZ20" s="340">
        <f>IF(P20-1100000&gt;0,P20-1100000,0)</f>
        <v>0</v>
      </c>
      <c r="DA20" s="341"/>
      <c r="DB20" s="342"/>
      <c r="DC20" s="340">
        <f>IF(P22-1100000&gt;0,P22-1100000,0)</f>
        <v>0</v>
      </c>
      <c r="DD20" s="341"/>
      <c r="DE20" s="342"/>
      <c r="DF20" s="340">
        <f>IF(P24-1100000&gt;0,P24-1100000,0)</f>
        <v>0</v>
      </c>
      <c r="DG20" s="341"/>
      <c r="DH20" s="342"/>
      <c r="DI20" s="340">
        <f>IF(P26-1100000&gt;0,P26-1100000,0)</f>
        <v>0</v>
      </c>
      <c r="DJ20" s="341"/>
      <c r="DK20" s="343"/>
    </row>
    <row r="21" spans="2:127" ht="18" customHeight="1" x14ac:dyDescent="0.15">
      <c r="B21" s="307"/>
      <c r="C21" s="308"/>
      <c r="D21" s="309"/>
      <c r="E21" s="312"/>
      <c r="F21" s="313"/>
      <c r="G21" s="315"/>
      <c r="H21" s="312"/>
      <c r="I21" s="313"/>
      <c r="J21" s="315"/>
      <c r="K21" s="318"/>
      <c r="L21" s="319"/>
      <c r="M21" s="319"/>
      <c r="N21" s="319"/>
      <c r="O21" s="46"/>
      <c r="P21" s="355"/>
      <c r="Q21" s="356"/>
      <c r="R21" s="356"/>
      <c r="S21" s="356"/>
      <c r="T21" s="46"/>
      <c r="U21" s="604"/>
      <c r="V21" s="605"/>
      <c r="W21" s="42"/>
      <c r="X21" s="611"/>
      <c r="Y21" s="611"/>
      <c r="Z21" s="611"/>
      <c r="AA21" s="36"/>
      <c r="AB21" s="596"/>
      <c r="AC21" s="597"/>
      <c r="AD21" s="597"/>
      <c r="AE21" s="42"/>
      <c r="AJ21" s="378"/>
      <c r="AK21" s="379"/>
      <c r="AL21" s="361"/>
      <c r="AM21" s="381"/>
      <c r="AN21" s="360"/>
      <c r="AO21" s="361"/>
      <c r="AP21" s="280"/>
      <c r="AQ21" s="280"/>
      <c r="AR21" s="280"/>
      <c r="AS21" s="280"/>
      <c r="AT21" s="365"/>
      <c r="AU21" s="366"/>
      <c r="AV21" s="366"/>
      <c r="AW21" s="367"/>
      <c r="AX21" s="370"/>
      <c r="AY21" s="371"/>
      <c r="AZ21" s="371"/>
      <c r="BA21" s="401"/>
      <c r="BB21" s="10">
        <v>5</v>
      </c>
      <c r="BC21" s="279">
        <v>1622000</v>
      </c>
      <c r="BD21" s="279"/>
      <c r="BE21" s="279"/>
      <c r="BF21" s="9" t="s">
        <v>21</v>
      </c>
      <c r="BG21" s="279">
        <v>1623999</v>
      </c>
      <c r="BH21" s="279"/>
      <c r="BI21" s="279"/>
      <c r="BJ21" s="279">
        <v>1072000</v>
      </c>
      <c r="BK21" s="279"/>
      <c r="BL21" s="279"/>
      <c r="BM21" s="279"/>
      <c r="BN21" s="279"/>
      <c r="BO21" s="279"/>
      <c r="BP21" s="279"/>
      <c r="BQ21" s="279"/>
      <c r="BR21" s="344"/>
      <c r="BS21" s="280">
        <f>BJ21</f>
        <v>1072000</v>
      </c>
      <c r="BT21" s="280"/>
      <c r="BU21" s="280"/>
      <c r="BV21" s="280">
        <f>BJ21</f>
        <v>1072000</v>
      </c>
      <c r="BW21" s="280"/>
      <c r="BX21" s="280"/>
      <c r="BY21" s="280">
        <f>BJ21</f>
        <v>1072000</v>
      </c>
      <c r="BZ21" s="280"/>
      <c r="CA21" s="280"/>
      <c r="CB21" s="280">
        <f>BJ21</f>
        <v>1072000</v>
      </c>
      <c r="CC21" s="280"/>
      <c r="CD21" s="280"/>
      <c r="CE21" s="280">
        <f>BJ21</f>
        <v>1072000</v>
      </c>
      <c r="CF21" s="280"/>
      <c r="CG21" s="280"/>
      <c r="CH21" s="50">
        <v>5</v>
      </c>
      <c r="CI21" s="284"/>
      <c r="CJ21" s="285"/>
      <c r="CK21" s="409">
        <f t="shared" si="0"/>
        <v>3300001</v>
      </c>
      <c r="CL21" s="347"/>
      <c r="CM21" s="347"/>
      <c r="CN21" s="55" t="s">
        <v>98</v>
      </c>
      <c r="CO21" s="348">
        <v>4100000</v>
      </c>
      <c r="CP21" s="348"/>
      <c r="CQ21" s="576"/>
      <c r="CR21" s="586" t="s">
        <v>92</v>
      </c>
      <c r="CS21" s="587"/>
      <c r="CT21" s="587"/>
      <c r="CU21" s="587"/>
      <c r="CV21" s="588"/>
      <c r="CW21" s="340">
        <f>P18*0.75-275000</f>
        <v>-275000</v>
      </c>
      <c r="CX21" s="341"/>
      <c r="CY21" s="342"/>
      <c r="CZ21" s="340">
        <f>P20*0.75-275000</f>
        <v>-275000</v>
      </c>
      <c r="DA21" s="341"/>
      <c r="DB21" s="342"/>
      <c r="DC21" s="340">
        <f>P22*0.75-275000</f>
        <v>-275000</v>
      </c>
      <c r="DD21" s="341"/>
      <c r="DE21" s="342"/>
      <c r="DF21" s="340">
        <f>P24*0.75-275000</f>
        <v>-275000</v>
      </c>
      <c r="DG21" s="341"/>
      <c r="DH21" s="342"/>
      <c r="DI21" s="340">
        <f>P26*0.75-275000</f>
        <v>-275000</v>
      </c>
      <c r="DJ21" s="341"/>
      <c r="DK21" s="343"/>
    </row>
    <row r="22" spans="2:127" ht="18" customHeight="1" x14ac:dyDescent="0.15">
      <c r="B22" s="386" t="s">
        <v>26</v>
      </c>
      <c r="C22" s="387"/>
      <c r="D22" s="388"/>
      <c r="E22" s="353">
        <f>試算入力用!$E$22</f>
        <v>0</v>
      </c>
      <c r="F22" s="354"/>
      <c r="G22" s="352" t="s">
        <v>23</v>
      </c>
      <c r="H22" s="353">
        <f>試算入力用!$H$22</f>
        <v>0</v>
      </c>
      <c r="I22" s="354"/>
      <c r="J22" s="352" t="s">
        <v>23</v>
      </c>
      <c r="K22" s="357">
        <f>試算入力用!$K$22</f>
        <v>0</v>
      </c>
      <c r="L22" s="358"/>
      <c r="M22" s="358"/>
      <c r="N22" s="358"/>
      <c r="O22" s="43" t="s">
        <v>24</v>
      </c>
      <c r="P22" s="357">
        <f>試算入力用!$P$22</f>
        <v>0</v>
      </c>
      <c r="Q22" s="358"/>
      <c r="R22" s="358"/>
      <c r="S22" s="358"/>
      <c r="T22" s="43" t="s">
        <v>24</v>
      </c>
      <c r="U22" s="606">
        <f>試算入力用!$U$22</f>
        <v>0</v>
      </c>
      <c r="V22" s="607"/>
      <c r="W22" s="37" t="s">
        <v>24</v>
      </c>
      <c r="X22" s="595">
        <f>IF(E22="","",SUM(AP22:BA23)-$AX$12)</f>
        <v>0</v>
      </c>
      <c r="Y22" s="595"/>
      <c r="Z22" s="595"/>
      <c r="AA22" s="37" t="s">
        <v>24</v>
      </c>
      <c r="AB22" s="594">
        <f>IF(X22="","",IF(X22&lt;=430000,0,X22-430000))</f>
        <v>0</v>
      </c>
      <c r="AC22" s="595"/>
      <c r="AD22" s="595"/>
      <c r="AE22" s="37" t="s">
        <v>24</v>
      </c>
      <c r="AJ22" s="378">
        <f>IF(K22="","",IF(K22&lt;BC18,1,IF(K22&lt;BC19,2,IF(K22&lt;BC20,3,IF(K22&lt;BC21,4,IF(K22&lt;BC22,5,IF(K22&lt;BC23,6,"")))))))</f>
        <v>1</v>
      </c>
      <c r="AK22" s="379" t="str">
        <f>IF(K22="","",IF(K22&lt;$BC$23,"",IF(K22&lt;$BC$24,7,IF(K22&lt;$BC$25,8,IF(K22&lt;$BC$26,9,IF(K22&lt;$BC$27,10,IF(K22&gt;=$BC$27,11,"")))))))</f>
        <v/>
      </c>
      <c r="AL22" s="361">
        <f>IF(AJ22="",AK22,AJ22)</f>
        <v>1</v>
      </c>
      <c r="AM22" s="380" t="str">
        <f t="shared" ref="AM22" si="2">IF(P22="","",IF(E22&lt;65,"",IF(E22&gt;=65,IF(P22&lt;=$CO$17,1,IF(P22&lt;=$CO$18,2,IF(P22&lt;=$CO$19,3,IF(P22&lt;=$CO$20,4,IF(P22&lt;=$CO$21,5,IF(P22&lt;=$CO$22,6,IF(P22&lt;=$CO$23,7,IF(P22&gt;=$CK$24,8,"")))))))))))</f>
        <v/>
      </c>
      <c r="AN22" s="359">
        <f>IF($P$22="","",IF($E$22-1&gt;=65,"",IF($E$22-1&lt;65,IF($P$22&lt;=$CO$25,9,IF($P$22&lt;=$CO$26,10,IF($P$22&lt;=$CO$27,11,IF($P$22&lt;=$CO$28,12,IF($P$22&lt;=$CO$29,13,IF($P$22&lt;=$CO$30,14,IF($P$22&lt;=$CO$31,15,IF($P$22&gt;=$CK$32,16,"")))))))))))</f>
        <v>9</v>
      </c>
      <c r="AO22" s="361">
        <f>IF(AM22="",AN22,AM22)</f>
        <v>9</v>
      </c>
      <c r="AP22" s="280">
        <f>IF(AL22="",0,VLOOKUP(AL22,BB17:CG27,24,0))</f>
        <v>0</v>
      </c>
      <c r="AQ22" s="280"/>
      <c r="AR22" s="280"/>
      <c r="AS22" s="280"/>
      <c r="AT22" s="362">
        <f>IF(AO22="",0,VLOOKUP(AO22,CH17:DK32,22,0))</f>
        <v>0</v>
      </c>
      <c r="AU22" s="363"/>
      <c r="AV22" s="363"/>
      <c r="AW22" s="364"/>
      <c r="AX22" s="368">
        <f>U22</f>
        <v>0</v>
      </c>
      <c r="AY22" s="369"/>
      <c r="AZ22" s="369"/>
      <c r="BA22" s="423"/>
      <c r="BB22" s="10">
        <v>6</v>
      </c>
      <c r="BC22" s="279">
        <v>1624000</v>
      </c>
      <c r="BD22" s="279"/>
      <c r="BE22" s="279"/>
      <c r="BF22" s="9" t="s">
        <v>21</v>
      </c>
      <c r="BG22" s="279">
        <v>1627999</v>
      </c>
      <c r="BH22" s="279"/>
      <c r="BI22" s="279"/>
      <c r="BJ22" s="279">
        <v>1074000</v>
      </c>
      <c r="BK22" s="279"/>
      <c r="BL22" s="279"/>
      <c r="BM22" s="279"/>
      <c r="BN22" s="279"/>
      <c r="BO22" s="279"/>
      <c r="BP22" s="279"/>
      <c r="BQ22" s="279"/>
      <c r="BR22" s="344"/>
      <c r="BS22" s="280">
        <f>BJ22</f>
        <v>1074000</v>
      </c>
      <c r="BT22" s="280"/>
      <c r="BU22" s="280"/>
      <c r="BV22" s="280">
        <f>BJ22</f>
        <v>1074000</v>
      </c>
      <c r="BW22" s="280"/>
      <c r="BX22" s="280"/>
      <c r="BY22" s="280">
        <f>BJ22</f>
        <v>1074000</v>
      </c>
      <c r="BZ22" s="280"/>
      <c r="CA22" s="280"/>
      <c r="CB22" s="280">
        <f>BJ22</f>
        <v>1074000</v>
      </c>
      <c r="CC22" s="280"/>
      <c r="CD22" s="280"/>
      <c r="CE22" s="280">
        <f>BJ22</f>
        <v>1074000</v>
      </c>
      <c r="CF22" s="280"/>
      <c r="CG22" s="280"/>
      <c r="CH22" s="50">
        <v>6</v>
      </c>
      <c r="CI22" s="284"/>
      <c r="CJ22" s="285"/>
      <c r="CK22" s="409">
        <f t="shared" si="0"/>
        <v>4100001</v>
      </c>
      <c r="CL22" s="347"/>
      <c r="CM22" s="347"/>
      <c r="CN22" s="55" t="s">
        <v>98</v>
      </c>
      <c r="CO22" s="348">
        <v>7700000</v>
      </c>
      <c r="CP22" s="348"/>
      <c r="CQ22" s="576"/>
      <c r="CR22" s="586" t="s">
        <v>93</v>
      </c>
      <c r="CS22" s="587"/>
      <c r="CT22" s="587"/>
      <c r="CU22" s="587"/>
      <c r="CV22" s="588"/>
      <c r="CW22" s="340">
        <f>P18*0.85-685000</f>
        <v>-685000</v>
      </c>
      <c r="CX22" s="341"/>
      <c r="CY22" s="342"/>
      <c r="CZ22" s="340">
        <f>P20*0.85-685000</f>
        <v>-685000</v>
      </c>
      <c r="DA22" s="341"/>
      <c r="DB22" s="342"/>
      <c r="DC22" s="340">
        <f>P22*0.85-685000</f>
        <v>-685000</v>
      </c>
      <c r="DD22" s="341"/>
      <c r="DE22" s="342"/>
      <c r="DF22" s="340">
        <f>P24*0.85-685000</f>
        <v>-685000</v>
      </c>
      <c r="DG22" s="341"/>
      <c r="DH22" s="342"/>
      <c r="DI22" s="340">
        <f>P26*0.85-685000</f>
        <v>-685000</v>
      </c>
      <c r="DJ22" s="341"/>
      <c r="DK22" s="343"/>
    </row>
    <row r="23" spans="2:127" ht="18" customHeight="1" x14ac:dyDescent="0.15">
      <c r="B23" s="307"/>
      <c r="C23" s="308"/>
      <c r="D23" s="309"/>
      <c r="E23" s="312"/>
      <c r="F23" s="313"/>
      <c r="G23" s="315"/>
      <c r="H23" s="312"/>
      <c r="I23" s="313"/>
      <c r="J23" s="315"/>
      <c r="K23" s="318"/>
      <c r="L23" s="319"/>
      <c r="M23" s="319"/>
      <c r="N23" s="319"/>
      <c r="O23" s="46"/>
      <c r="P23" s="318"/>
      <c r="Q23" s="319"/>
      <c r="R23" s="319"/>
      <c r="S23" s="319"/>
      <c r="T23" s="46"/>
      <c r="U23" s="602"/>
      <c r="V23" s="603"/>
      <c r="W23" s="36"/>
      <c r="X23" s="611"/>
      <c r="Y23" s="611"/>
      <c r="Z23" s="611"/>
      <c r="AA23" s="36"/>
      <c r="AB23" s="596"/>
      <c r="AC23" s="597"/>
      <c r="AD23" s="597"/>
      <c r="AE23" s="42"/>
      <c r="AJ23" s="378"/>
      <c r="AK23" s="379"/>
      <c r="AL23" s="361"/>
      <c r="AM23" s="381"/>
      <c r="AN23" s="360"/>
      <c r="AO23" s="361"/>
      <c r="AP23" s="280"/>
      <c r="AQ23" s="280"/>
      <c r="AR23" s="280"/>
      <c r="AS23" s="280"/>
      <c r="AT23" s="365"/>
      <c r="AU23" s="366"/>
      <c r="AV23" s="366"/>
      <c r="AW23" s="367"/>
      <c r="AX23" s="370"/>
      <c r="AY23" s="371"/>
      <c r="AZ23" s="371"/>
      <c r="BA23" s="401"/>
      <c r="BB23" s="10">
        <v>7</v>
      </c>
      <c r="BC23" s="279">
        <v>1628000</v>
      </c>
      <c r="BD23" s="279"/>
      <c r="BE23" s="279"/>
      <c r="BF23" s="9" t="s">
        <v>21</v>
      </c>
      <c r="BG23" s="279">
        <v>1799999</v>
      </c>
      <c r="BH23" s="279"/>
      <c r="BI23" s="279"/>
      <c r="BJ23" s="219" t="s">
        <v>85</v>
      </c>
      <c r="BK23" s="219"/>
      <c r="BL23" s="219"/>
      <c r="BM23" s="219"/>
      <c r="BN23" s="219"/>
      <c r="BO23" s="219"/>
      <c r="BP23" s="219"/>
      <c r="BQ23" s="219"/>
      <c r="BR23" s="239"/>
      <c r="BS23" s="280">
        <f>(ROUNDDOWN(K18/4,-3)*2.4)+100000</f>
        <v>100000</v>
      </c>
      <c r="BT23" s="280"/>
      <c r="BU23" s="280"/>
      <c r="BV23" s="280">
        <f>(ROUNDDOWN(K20/4,-3)*2.4)+100000</f>
        <v>100000</v>
      </c>
      <c r="BW23" s="280"/>
      <c r="BX23" s="280"/>
      <c r="BY23" s="280">
        <f>(ROUNDDOWN(K22/4,-3)*2.4)+100000</f>
        <v>100000</v>
      </c>
      <c r="BZ23" s="280"/>
      <c r="CA23" s="280"/>
      <c r="CB23" s="280">
        <f>(ROUNDDOWN(K24/4,-3)*2.4)+100000</f>
        <v>100000</v>
      </c>
      <c r="CC23" s="280"/>
      <c r="CD23" s="280"/>
      <c r="CE23" s="280">
        <f>(ROUNDDOWN(K26/4,-3)*2.4)+100000</f>
        <v>100000</v>
      </c>
      <c r="CF23" s="280"/>
      <c r="CG23" s="280"/>
      <c r="CH23" s="50">
        <v>7</v>
      </c>
      <c r="CI23" s="284"/>
      <c r="CJ23" s="285"/>
      <c r="CK23" s="409">
        <f t="shared" si="0"/>
        <v>7700001</v>
      </c>
      <c r="CL23" s="347"/>
      <c r="CM23" s="347"/>
      <c r="CN23" s="55" t="s">
        <v>98</v>
      </c>
      <c r="CO23" s="348">
        <v>10000000</v>
      </c>
      <c r="CP23" s="348"/>
      <c r="CQ23" s="576"/>
      <c r="CR23" s="591" t="s">
        <v>94</v>
      </c>
      <c r="CS23" s="592"/>
      <c r="CT23" s="592"/>
      <c r="CU23" s="592"/>
      <c r="CV23" s="593"/>
      <c r="CW23" s="340">
        <f>P18*0.95-1455000</f>
        <v>-1455000</v>
      </c>
      <c r="CX23" s="341"/>
      <c r="CY23" s="342"/>
      <c r="CZ23" s="340">
        <f>P20*0.95-1455000</f>
        <v>-1455000</v>
      </c>
      <c r="DA23" s="341"/>
      <c r="DB23" s="342"/>
      <c r="DC23" s="340">
        <f>P22*0.95-1455000</f>
        <v>-1455000</v>
      </c>
      <c r="DD23" s="341"/>
      <c r="DE23" s="342"/>
      <c r="DF23" s="340">
        <f>P24*0.95-1455000</f>
        <v>-1455000</v>
      </c>
      <c r="DG23" s="341"/>
      <c r="DH23" s="342"/>
      <c r="DI23" s="340">
        <f>P26*0.95-1455000</f>
        <v>-1455000</v>
      </c>
      <c r="DJ23" s="341"/>
      <c r="DK23" s="343"/>
    </row>
    <row r="24" spans="2:127" ht="18" customHeight="1" thickBot="1" x14ac:dyDescent="0.2">
      <c r="B24" s="386" t="s">
        <v>27</v>
      </c>
      <c r="C24" s="387"/>
      <c r="D24" s="388"/>
      <c r="E24" s="353">
        <f>試算入力用!$E$24</f>
        <v>0</v>
      </c>
      <c r="F24" s="354"/>
      <c r="G24" s="352" t="s">
        <v>23</v>
      </c>
      <c r="H24" s="353">
        <f>試算入力用!$H$24</f>
        <v>0</v>
      </c>
      <c r="I24" s="354"/>
      <c r="J24" s="352" t="s">
        <v>23</v>
      </c>
      <c r="K24" s="357">
        <f>試算入力用!$K$24</f>
        <v>0</v>
      </c>
      <c r="L24" s="358"/>
      <c r="M24" s="358"/>
      <c r="N24" s="358"/>
      <c r="O24" s="43" t="s">
        <v>24</v>
      </c>
      <c r="P24" s="357">
        <f>試算入力用!$P$24</f>
        <v>0</v>
      </c>
      <c r="Q24" s="358"/>
      <c r="R24" s="358"/>
      <c r="S24" s="358"/>
      <c r="T24" s="43" t="s">
        <v>24</v>
      </c>
      <c r="U24" s="606">
        <f>試算入力用!$U$24</f>
        <v>0</v>
      </c>
      <c r="V24" s="607"/>
      <c r="W24" s="42" t="s">
        <v>24</v>
      </c>
      <c r="X24" s="595">
        <f>IF(E24="","",SUM(AP24:BA25)-$AX$13)</f>
        <v>0</v>
      </c>
      <c r="Y24" s="595"/>
      <c r="Z24" s="595"/>
      <c r="AA24" s="37" t="s">
        <v>24</v>
      </c>
      <c r="AB24" s="594">
        <f>IF(X24="","",IF(X24&lt;=430000,0,X24-430000))</f>
        <v>0</v>
      </c>
      <c r="AC24" s="595"/>
      <c r="AD24" s="595"/>
      <c r="AE24" s="37" t="s">
        <v>24</v>
      </c>
      <c r="AJ24" s="378">
        <f>IF(K24="","",IF(K24&lt;BC18,1,IF(K24&lt;BC19,2,IF(K24&lt;BC20,3,IF(K24&lt;BC21,4,IF(K24&lt;BC22,5,IF(K24&lt;BC23,6,"")))))))</f>
        <v>1</v>
      </c>
      <c r="AK24" s="379" t="str">
        <f>IF(K24="","",IF(K24&lt;$BC$23,"",IF(K24&lt;$BC$24,7,IF(K24&lt;$BC$25,8,IF(K24&lt;$BC$26,9,IF(K24&lt;$BC$27,10,IF(K24&gt;=$BC$27,11,"")))))))</f>
        <v/>
      </c>
      <c r="AL24" s="361">
        <f>IF(AJ24="",AK24,AJ24)</f>
        <v>1</v>
      </c>
      <c r="AM24" s="380" t="str">
        <f t="shared" ref="AM24" si="3">IF(P24="","",IF(E24&lt;65,"",IF(E24&gt;=65,IF(P24&lt;=$CO$17,1,IF(P24&lt;=$CO$18,2,IF(P24&lt;=$CO$19,3,IF(P24&lt;=$CO$20,4,IF(P24&lt;=$CO$21,5,IF(P24&lt;=$CO$22,6,IF(P24&lt;=$CO$23,7,IF(P24&gt;=$CK$24,8,"")))))))))))</f>
        <v/>
      </c>
      <c r="AN24" s="359">
        <f>IF($P$24="","",IF($E$24-1&gt;=65,"",IF($E$24-1&lt;65,IF($P$24&lt;=$CO$25,9,IF($P$24&lt;=$CO$26,10,IF($P$24&lt;=$CO$27,11,IF($P$24&lt;=$CO$28,12,IF($P$24&lt;=$CO$29,13,IF($P$24&lt;=$CO$30,14,IF($P$24&lt;=$CO$31,15,IF($P$24&gt;=$CK$32,16,"")))))))))))</f>
        <v>9</v>
      </c>
      <c r="AO24" s="361">
        <f>IF(AM24="",AN24,AM24)</f>
        <v>9</v>
      </c>
      <c r="AP24" s="280">
        <f>IF(AL24="",0,VLOOKUP(AL24,BB17:CG27,27,0))</f>
        <v>0</v>
      </c>
      <c r="AQ24" s="280"/>
      <c r="AR24" s="280"/>
      <c r="AS24" s="280"/>
      <c r="AT24" s="362">
        <f>IF(AO24="",0,VLOOKUP(AO24,CH17:DK32,25,0))</f>
        <v>0</v>
      </c>
      <c r="AU24" s="363"/>
      <c r="AV24" s="363"/>
      <c r="AW24" s="364"/>
      <c r="AX24" s="368">
        <f>U24</f>
        <v>0</v>
      </c>
      <c r="AY24" s="369"/>
      <c r="AZ24" s="369"/>
      <c r="BA24" s="423"/>
      <c r="BB24" s="10">
        <v>8</v>
      </c>
      <c r="BC24" s="279">
        <v>1800000</v>
      </c>
      <c r="BD24" s="279"/>
      <c r="BE24" s="279"/>
      <c r="BF24" s="9" t="s">
        <v>21</v>
      </c>
      <c r="BG24" s="279">
        <v>3599999</v>
      </c>
      <c r="BH24" s="279"/>
      <c r="BI24" s="279"/>
      <c r="BJ24" s="219" t="s">
        <v>86</v>
      </c>
      <c r="BK24" s="219"/>
      <c r="BL24" s="219"/>
      <c r="BM24" s="219"/>
      <c r="BN24" s="219"/>
      <c r="BO24" s="219"/>
      <c r="BP24" s="219"/>
      <c r="BQ24" s="219"/>
      <c r="BR24" s="239"/>
      <c r="BS24" s="280">
        <f>ROUNDDOWN(K18/4,-3)*2.8-80000</f>
        <v>-80000</v>
      </c>
      <c r="BT24" s="280"/>
      <c r="BU24" s="280"/>
      <c r="BV24" s="280">
        <f>ROUNDDOWN(K20/4,-3)*2.8-80000</f>
        <v>-80000</v>
      </c>
      <c r="BW24" s="280"/>
      <c r="BX24" s="280"/>
      <c r="BY24" s="280">
        <f>ROUNDDOWN(K22/4,-3)*2.8-80000</f>
        <v>-80000</v>
      </c>
      <c r="BZ24" s="280"/>
      <c r="CA24" s="280"/>
      <c r="CB24" s="280">
        <f>ROUNDDOWN(K24/4,-3)*2.8-80000</f>
        <v>-80000</v>
      </c>
      <c r="CC24" s="280"/>
      <c r="CD24" s="280"/>
      <c r="CE24" s="280">
        <f>ROUNDDOWN(K26/4,-3)*2.8-80000</f>
        <v>-80000</v>
      </c>
      <c r="CF24" s="280"/>
      <c r="CG24" s="280"/>
      <c r="CH24" s="66">
        <v>8</v>
      </c>
      <c r="CI24" s="286"/>
      <c r="CJ24" s="287"/>
      <c r="CK24" s="486">
        <f t="shared" si="0"/>
        <v>10000001</v>
      </c>
      <c r="CL24" s="413"/>
      <c r="CM24" s="413"/>
      <c r="CN24" s="55" t="s">
        <v>98</v>
      </c>
      <c r="CO24" s="598"/>
      <c r="CP24" s="598"/>
      <c r="CQ24" s="599"/>
      <c r="CR24" s="545" t="s">
        <v>96</v>
      </c>
      <c r="CS24" s="411"/>
      <c r="CT24" s="411"/>
      <c r="CU24" s="411"/>
      <c r="CV24" s="412"/>
      <c r="CW24" s="434">
        <f>P18-1955000</f>
        <v>-1955000</v>
      </c>
      <c r="CX24" s="435"/>
      <c r="CY24" s="436"/>
      <c r="CZ24" s="434">
        <f>P20-1955000</f>
        <v>-1955000</v>
      </c>
      <c r="DA24" s="435"/>
      <c r="DB24" s="436"/>
      <c r="DC24" s="434">
        <f>P22-1955000</f>
        <v>-1955000</v>
      </c>
      <c r="DD24" s="435"/>
      <c r="DE24" s="436"/>
      <c r="DF24" s="434">
        <f>P24-1955000</f>
        <v>-1955000</v>
      </c>
      <c r="DG24" s="435"/>
      <c r="DH24" s="436"/>
      <c r="DI24" s="434">
        <f>P26-1955000</f>
        <v>-1955000</v>
      </c>
      <c r="DJ24" s="435"/>
      <c r="DK24" s="437"/>
    </row>
    <row r="25" spans="2:127" ht="18" customHeight="1" x14ac:dyDescent="0.15">
      <c r="B25" s="307"/>
      <c r="C25" s="308"/>
      <c r="D25" s="309"/>
      <c r="E25" s="312"/>
      <c r="F25" s="313"/>
      <c r="G25" s="315"/>
      <c r="H25" s="312"/>
      <c r="I25" s="313"/>
      <c r="J25" s="315"/>
      <c r="K25" s="318"/>
      <c r="L25" s="319"/>
      <c r="M25" s="319"/>
      <c r="N25" s="319"/>
      <c r="O25" s="46"/>
      <c r="P25" s="318"/>
      <c r="Q25" s="319"/>
      <c r="R25" s="319"/>
      <c r="S25" s="319"/>
      <c r="T25" s="46"/>
      <c r="U25" s="602"/>
      <c r="V25" s="603"/>
      <c r="W25" s="42"/>
      <c r="X25" s="597"/>
      <c r="Y25" s="597"/>
      <c r="Z25" s="597"/>
      <c r="AA25" s="36"/>
      <c r="AB25" s="596"/>
      <c r="AC25" s="597"/>
      <c r="AD25" s="597"/>
      <c r="AE25" s="36"/>
      <c r="AJ25" s="378"/>
      <c r="AK25" s="379"/>
      <c r="AL25" s="361"/>
      <c r="AM25" s="381"/>
      <c r="AN25" s="360"/>
      <c r="AO25" s="361"/>
      <c r="AP25" s="280"/>
      <c r="AQ25" s="280"/>
      <c r="AR25" s="280"/>
      <c r="AS25" s="280"/>
      <c r="AT25" s="365"/>
      <c r="AU25" s="366"/>
      <c r="AV25" s="366"/>
      <c r="AW25" s="367"/>
      <c r="AX25" s="370"/>
      <c r="AY25" s="371"/>
      <c r="AZ25" s="371"/>
      <c r="BA25" s="401"/>
      <c r="BB25" s="10">
        <v>9</v>
      </c>
      <c r="BC25" s="279">
        <v>3600000</v>
      </c>
      <c r="BD25" s="279"/>
      <c r="BE25" s="279"/>
      <c r="BF25" s="9" t="s">
        <v>21</v>
      </c>
      <c r="BG25" s="279">
        <v>6599999</v>
      </c>
      <c r="BH25" s="279"/>
      <c r="BI25" s="279"/>
      <c r="BJ25" s="219" t="s">
        <v>87</v>
      </c>
      <c r="BK25" s="219"/>
      <c r="BL25" s="219"/>
      <c r="BM25" s="219"/>
      <c r="BN25" s="219"/>
      <c r="BO25" s="219"/>
      <c r="BP25" s="219"/>
      <c r="BQ25" s="219"/>
      <c r="BR25" s="239"/>
      <c r="BS25" s="280">
        <f>ROUNDDOWN(K18/4,-3)*3.2-440000</f>
        <v>-440000</v>
      </c>
      <c r="BT25" s="280"/>
      <c r="BU25" s="280"/>
      <c r="BV25" s="280">
        <f>ROUNDDOWN(K20/4,-3)*3.2-440000</f>
        <v>-440000</v>
      </c>
      <c r="BW25" s="280"/>
      <c r="BX25" s="280"/>
      <c r="BY25" s="280">
        <f>ROUNDDOWN(K22/4,-3)*3.2-440000</f>
        <v>-440000</v>
      </c>
      <c r="BZ25" s="280"/>
      <c r="CA25" s="280"/>
      <c r="CB25" s="280">
        <f>ROUNDDOWN(K24/4,-3)*3.2-440000</f>
        <v>-440000</v>
      </c>
      <c r="CC25" s="280"/>
      <c r="CD25" s="280"/>
      <c r="CE25" s="280">
        <f>ROUNDDOWN(K26/4,-3)*3.2-440000</f>
        <v>-440000</v>
      </c>
      <c r="CF25" s="280"/>
      <c r="CG25" s="281"/>
      <c r="CH25" s="52">
        <v>9</v>
      </c>
      <c r="CI25" s="702">
        <v>64</v>
      </c>
      <c r="CJ25" s="703"/>
      <c r="CK25" s="409"/>
      <c r="CL25" s="347"/>
      <c r="CM25" s="347"/>
      <c r="CN25" s="65" t="s">
        <v>98</v>
      </c>
      <c r="CO25" s="325">
        <v>400000</v>
      </c>
      <c r="CP25" s="325"/>
      <c r="CQ25" s="325"/>
      <c r="CR25" s="327" t="s">
        <v>95</v>
      </c>
      <c r="CS25" s="328"/>
      <c r="CT25" s="328"/>
      <c r="CU25" s="328"/>
      <c r="CV25" s="328"/>
      <c r="CW25" s="300">
        <v>0</v>
      </c>
      <c r="CX25" s="301"/>
      <c r="CY25" s="302"/>
      <c r="CZ25" s="300">
        <v>0</v>
      </c>
      <c r="DA25" s="301"/>
      <c r="DB25" s="302"/>
      <c r="DC25" s="300">
        <v>0</v>
      </c>
      <c r="DD25" s="301"/>
      <c r="DE25" s="302"/>
      <c r="DF25" s="300">
        <v>0</v>
      </c>
      <c r="DG25" s="301"/>
      <c r="DH25" s="302"/>
      <c r="DI25" s="300">
        <v>0</v>
      </c>
      <c r="DJ25" s="301"/>
      <c r="DK25" s="303"/>
    </row>
    <row r="26" spans="2:127" ht="18" customHeight="1" x14ac:dyDescent="0.15">
      <c r="B26" s="386" t="s">
        <v>28</v>
      </c>
      <c r="C26" s="387"/>
      <c r="D26" s="388"/>
      <c r="E26" s="353">
        <f>試算入力用!$E$26</f>
        <v>0</v>
      </c>
      <c r="F26" s="354"/>
      <c r="G26" s="352" t="s">
        <v>23</v>
      </c>
      <c r="H26" s="353">
        <f>試算入力用!$H$26</f>
        <v>0</v>
      </c>
      <c r="I26" s="354"/>
      <c r="J26" s="352" t="s">
        <v>23</v>
      </c>
      <c r="K26" s="355">
        <f>試算入力用!$K$26</f>
        <v>0</v>
      </c>
      <c r="L26" s="356"/>
      <c r="M26" s="356"/>
      <c r="N26" s="356"/>
      <c r="O26" s="43" t="s">
        <v>24</v>
      </c>
      <c r="P26" s="357">
        <f>試算入力用!$P$26</f>
        <v>0</v>
      </c>
      <c r="Q26" s="358"/>
      <c r="R26" s="358"/>
      <c r="S26" s="358"/>
      <c r="T26" s="43" t="s">
        <v>24</v>
      </c>
      <c r="U26" s="604">
        <f>試算入力用!$U$26</f>
        <v>0</v>
      </c>
      <c r="V26" s="605"/>
      <c r="W26" s="37" t="s">
        <v>24</v>
      </c>
      <c r="X26" s="595">
        <f>IF(E26="","",SUM(AP26:BA27)-$AX$14)</f>
        <v>0</v>
      </c>
      <c r="Y26" s="595"/>
      <c r="Z26" s="595"/>
      <c r="AA26" s="37" t="s">
        <v>24</v>
      </c>
      <c r="AB26" s="610">
        <f>IF(X26="","",IF(X26&lt;=430000,0,X26-430000))</f>
        <v>0</v>
      </c>
      <c r="AC26" s="611"/>
      <c r="AD26" s="611"/>
      <c r="AE26" s="42" t="s">
        <v>24</v>
      </c>
      <c r="AJ26" s="378">
        <f>IF(K26="","",IF(K26&lt;BC18,1,IF(K26&lt;BC19,2,IF(K26&lt;BC20,3,IF(K26&lt;BC21,4,IF(K26&lt;BC22,5,IF(K26&lt;BC23,6,"")))))))</f>
        <v>1</v>
      </c>
      <c r="AK26" s="379" t="str">
        <f>IF(K26="","",IF(K26&lt;$BC$23,"",IF(K26&lt;$BC$24,7,IF(K26&lt;$BC$25,8,IF(K26&lt;$BC$26,9,IF(K26&lt;$BC$27,10,IF(K26&gt;=$BC$27,11,"")))))))</f>
        <v/>
      </c>
      <c r="AL26" s="361">
        <f>IF(AJ26="",AK26,AJ26)</f>
        <v>1</v>
      </c>
      <c r="AM26" s="380" t="str">
        <f t="shared" ref="AM26" si="4">IF(P26="","",IF(E26&lt;65,"",IF(E26&gt;=65,IF(P26&lt;=$CO$17,1,IF(P26&lt;=$CO$18,2,IF(P26&lt;=$CO$19,3,IF(P26&lt;=$CO$20,4,IF(P26&lt;=$CO$21,5,IF(P26&lt;=$CO$22,6,IF(P26&lt;=$CO$23,7,IF(P26&gt;=$CK$24,8,"")))))))))))</f>
        <v/>
      </c>
      <c r="AN26" s="359">
        <f>IF($P$26="","",IF($E$26-1&gt;=65,"",IF($E$26-1&lt;65,IF($P$26&lt;=$CO$25,9,IF($P$26&lt;=$CO$26,10,IF($P$26&lt;=$CO$27,11,IF($P$26&lt;=$CO$28,12,IF($P$26&lt;=$CO$29,13,IF($P$26&lt;=$CO$30,14,IF($P$26&lt;=$CO$31,15,IF($P$26&gt;=$CK$32,16,"")))))))))))</f>
        <v>9</v>
      </c>
      <c r="AO26" s="361">
        <f>IF(AM26="",AN26,AM26)</f>
        <v>9</v>
      </c>
      <c r="AP26" s="280">
        <f>IF(AL26="",0,VLOOKUP(AL26,BB17:CG27,30,0))</f>
        <v>0</v>
      </c>
      <c r="AQ26" s="280"/>
      <c r="AR26" s="280"/>
      <c r="AS26" s="280"/>
      <c r="AT26" s="362">
        <f>IF(AO26="",0,VLOOKUP(AO26,CH17:DK32,28,0))</f>
        <v>0</v>
      </c>
      <c r="AU26" s="363"/>
      <c r="AV26" s="363"/>
      <c r="AW26" s="363"/>
      <c r="AX26" s="368">
        <f>U26</f>
        <v>0</v>
      </c>
      <c r="AY26" s="369"/>
      <c r="AZ26" s="369"/>
      <c r="BA26" s="423"/>
      <c r="BB26" s="10">
        <v>10</v>
      </c>
      <c r="BC26" s="279">
        <v>6600000</v>
      </c>
      <c r="BD26" s="279"/>
      <c r="BE26" s="279"/>
      <c r="BF26" s="9" t="s">
        <v>21</v>
      </c>
      <c r="BG26" s="279">
        <v>8499999</v>
      </c>
      <c r="BH26" s="279"/>
      <c r="BI26" s="279"/>
      <c r="BJ26" s="219" t="s">
        <v>88</v>
      </c>
      <c r="BK26" s="219"/>
      <c r="BL26" s="219"/>
      <c r="BM26" s="219"/>
      <c r="BN26" s="219"/>
      <c r="BO26" s="219"/>
      <c r="BP26" s="219"/>
      <c r="BQ26" s="219"/>
      <c r="BR26" s="239"/>
      <c r="BS26" s="280">
        <f>K18*0.9-1100000</f>
        <v>-1100000</v>
      </c>
      <c r="BT26" s="280"/>
      <c r="BU26" s="280"/>
      <c r="BV26" s="280">
        <f>K20*0.9-1100000</f>
        <v>-1100000</v>
      </c>
      <c r="BW26" s="280"/>
      <c r="BX26" s="280"/>
      <c r="BY26" s="280">
        <f>K22*0.9-1100000</f>
        <v>-1100000</v>
      </c>
      <c r="BZ26" s="280"/>
      <c r="CA26" s="280"/>
      <c r="CB26" s="280">
        <f>K24*0.9-1100000</f>
        <v>-1100000</v>
      </c>
      <c r="CC26" s="280"/>
      <c r="CD26" s="280"/>
      <c r="CE26" s="280">
        <f>K26*0.9-1100000</f>
        <v>-1100000</v>
      </c>
      <c r="CF26" s="280"/>
      <c r="CG26" s="281"/>
      <c r="CH26" s="50">
        <v>10</v>
      </c>
      <c r="CI26" s="405"/>
      <c r="CJ26" s="406"/>
      <c r="CK26" s="409">
        <f>CO25+1</f>
        <v>400001</v>
      </c>
      <c r="CL26" s="347"/>
      <c r="CM26" s="347"/>
      <c r="CN26" s="55" t="s">
        <v>98</v>
      </c>
      <c r="CO26" s="348">
        <v>500000</v>
      </c>
      <c r="CP26" s="348"/>
      <c r="CQ26" s="348"/>
      <c r="CR26" s="350" t="s">
        <v>95</v>
      </c>
      <c r="CS26" s="351"/>
      <c r="CT26" s="351"/>
      <c r="CU26" s="351"/>
      <c r="CV26" s="351"/>
      <c r="CW26" s="340">
        <v>0</v>
      </c>
      <c r="CX26" s="341"/>
      <c r="CY26" s="342"/>
      <c r="CZ26" s="340">
        <v>0</v>
      </c>
      <c r="DA26" s="341"/>
      <c r="DB26" s="342"/>
      <c r="DC26" s="340">
        <v>0</v>
      </c>
      <c r="DD26" s="341"/>
      <c r="DE26" s="342"/>
      <c r="DF26" s="340">
        <v>0</v>
      </c>
      <c r="DG26" s="341"/>
      <c r="DH26" s="342"/>
      <c r="DI26" s="340">
        <v>0</v>
      </c>
      <c r="DJ26" s="341"/>
      <c r="DK26" s="343"/>
    </row>
    <row r="27" spans="2:127" ht="18" customHeight="1" thickBot="1" x14ac:dyDescent="0.2">
      <c r="B27" s="462"/>
      <c r="C27" s="463"/>
      <c r="D27" s="464"/>
      <c r="E27" s="552"/>
      <c r="F27" s="553"/>
      <c r="G27" s="554"/>
      <c r="H27" s="552"/>
      <c r="I27" s="553"/>
      <c r="J27" s="554"/>
      <c r="K27" s="555"/>
      <c r="L27" s="556"/>
      <c r="M27" s="556"/>
      <c r="N27" s="556"/>
      <c r="O27" s="44"/>
      <c r="P27" s="555"/>
      <c r="Q27" s="556"/>
      <c r="R27" s="556"/>
      <c r="S27" s="556"/>
      <c r="T27" s="44"/>
      <c r="U27" s="608"/>
      <c r="V27" s="609"/>
      <c r="W27" s="38"/>
      <c r="X27" s="613"/>
      <c r="Y27" s="613"/>
      <c r="Z27" s="613"/>
      <c r="AA27" s="38"/>
      <c r="AB27" s="612"/>
      <c r="AC27" s="613"/>
      <c r="AD27" s="613"/>
      <c r="AE27" s="38"/>
      <c r="AJ27" s="429"/>
      <c r="AK27" s="430"/>
      <c r="AL27" s="431"/>
      <c r="AM27" s="381"/>
      <c r="AN27" s="360"/>
      <c r="AO27" s="431"/>
      <c r="AP27" s="461"/>
      <c r="AQ27" s="461"/>
      <c r="AR27" s="461"/>
      <c r="AS27" s="461"/>
      <c r="AT27" s="616"/>
      <c r="AU27" s="617"/>
      <c r="AV27" s="617"/>
      <c r="AW27" s="617"/>
      <c r="AX27" s="424"/>
      <c r="AY27" s="425"/>
      <c r="AZ27" s="425"/>
      <c r="BA27" s="426"/>
      <c r="BB27" s="39">
        <v>11</v>
      </c>
      <c r="BC27" s="421">
        <v>8500000</v>
      </c>
      <c r="BD27" s="421"/>
      <c r="BE27" s="421"/>
      <c r="BF27" s="11" t="s">
        <v>21</v>
      </c>
      <c r="BG27" s="422"/>
      <c r="BH27" s="422"/>
      <c r="BI27" s="422"/>
      <c r="BJ27" s="421" t="s">
        <v>89</v>
      </c>
      <c r="BK27" s="421"/>
      <c r="BL27" s="421"/>
      <c r="BM27" s="421"/>
      <c r="BN27" s="421"/>
      <c r="BO27" s="421"/>
      <c r="BP27" s="421"/>
      <c r="BQ27" s="421"/>
      <c r="BR27" s="421"/>
      <c r="BS27" s="416">
        <f>K18-1950000</f>
        <v>-1950000</v>
      </c>
      <c r="BT27" s="417"/>
      <c r="BU27" s="417"/>
      <c r="BV27" s="416">
        <f>K20-1950000</f>
        <v>-1950000</v>
      </c>
      <c r="BW27" s="417"/>
      <c r="BX27" s="417"/>
      <c r="BY27" s="418">
        <f>K22-1950000</f>
        <v>-1950000</v>
      </c>
      <c r="BZ27" s="419"/>
      <c r="CA27" s="419"/>
      <c r="CB27" s="418">
        <f>K24-1950000</f>
        <v>-1950000</v>
      </c>
      <c r="CC27" s="419"/>
      <c r="CD27" s="419"/>
      <c r="CE27" s="418">
        <f>K26-1950000</f>
        <v>-1950000</v>
      </c>
      <c r="CF27" s="419"/>
      <c r="CG27" s="420"/>
      <c r="CH27" s="50">
        <v>11</v>
      </c>
      <c r="CI27" s="405"/>
      <c r="CJ27" s="406"/>
      <c r="CK27" s="409">
        <f t="shared" ref="CK27:CK32" si="5">CO26+1</f>
        <v>500001</v>
      </c>
      <c r="CL27" s="347"/>
      <c r="CM27" s="347"/>
      <c r="CN27" s="55" t="s">
        <v>98</v>
      </c>
      <c r="CO27" s="348">
        <v>600000</v>
      </c>
      <c r="CP27" s="348"/>
      <c r="CQ27" s="348"/>
      <c r="CR27" s="350" t="s">
        <v>95</v>
      </c>
      <c r="CS27" s="351"/>
      <c r="CT27" s="351"/>
      <c r="CU27" s="351"/>
      <c r="CV27" s="351"/>
      <c r="CW27" s="340">
        <v>0</v>
      </c>
      <c r="CX27" s="341"/>
      <c r="CY27" s="342"/>
      <c r="CZ27" s="340">
        <v>0</v>
      </c>
      <c r="DA27" s="341"/>
      <c r="DB27" s="342"/>
      <c r="DC27" s="340">
        <v>0</v>
      </c>
      <c r="DD27" s="341"/>
      <c r="DE27" s="342"/>
      <c r="DF27" s="340">
        <v>0</v>
      </c>
      <c r="DG27" s="341"/>
      <c r="DH27" s="342"/>
      <c r="DI27" s="340">
        <v>0</v>
      </c>
      <c r="DJ27" s="341"/>
      <c r="DK27" s="343"/>
    </row>
    <row r="28" spans="2:127" ht="18" customHeight="1" x14ac:dyDescent="0.15">
      <c r="AM28" s="51"/>
      <c r="AP28" s="459">
        <f>SUM(AP18:AP27)</f>
        <v>0</v>
      </c>
      <c r="AQ28" s="459"/>
      <c r="AR28" s="459"/>
      <c r="AS28" s="459"/>
      <c r="AT28" s="459">
        <f>SUM(AT18:AT27)</f>
        <v>0</v>
      </c>
      <c r="AU28" s="459"/>
      <c r="AV28" s="459"/>
      <c r="AW28" s="459"/>
      <c r="AX28" s="460">
        <f>SUM(AX18:AX27)</f>
        <v>0</v>
      </c>
      <c r="AY28" s="460"/>
      <c r="AZ28" s="460"/>
      <c r="BA28" s="460"/>
      <c r="BB28" s="13"/>
      <c r="BC28" s="29"/>
      <c r="BD28" s="29"/>
      <c r="BE28" s="29"/>
      <c r="BF28" s="14"/>
      <c r="BG28" s="14"/>
      <c r="BH28" s="14"/>
      <c r="BI28" s="14"/>
      <c r="BJ28" s="29"/>
      <c r="BK28" s="29"/>
      <c r="BL28" s="29"/>
      <c r="BM28" s="29"/>
      <c r="BN28" s="29"/>
      <c r="BO28" s="29"/>
      <c r="BP28" s="29"/>
      <c r="BQ28" s="29"/>
      <c r="BR28" s="29"/>
      <c r="BS28" s="30"/>
      <c r="BT28" s="31"/>
      <c r="BU28" s="31"/>
      <c r="BV28" s="30"/>
      <c r="BW28" s="31"/>
      <c r="BX28" s="31"/>
      <c r="BY28" s="32"/>
      <c r="BZ28" s="33"/>
      <c r="CA28" s="33"/>
      <c r="CB28" s="32"/>
      <c r="CC28" s="33"/>
      <c r="CD28" s="33"/>
      <c r="CE28" s="32"/>
      <c r="CF28" s="33"/>
      <c r="CG28" s="33"/>
      <c r="CH28" s="50">
        <v>12</v>
      </c>
      <c r="CI28" s="405"/>
      <c r="CJ28" s="406"/>
      <c r="CK28" s="409">
        <f t="shared" si="5"/>
        <v>600001</v>
      </c>
      <c r="CL28" s="347"/>
      <c r="CM28" s="347"/>
      <c r="CN28" s="55" t="s">
        <v>98</v>
      </c>
      <c r="CO28" s="348">
        <v>1300000</v>
      </c>
      <c r="CP28" s="348"/>
      <c r="CQ28" s="348"/>
      <c r="CR28" s="350" t="s">
        <v>97</v>
      </c>
      <c r="CS28" s="351"/>
      <c r="CT28" s="351"/>
      <c r="CU28" s="351"/>
      <c r="CV28" s="351"/>
      <c r="CW28" s="280">
        <f>IF($P$18-600000&gt;0,$P$18-600000,0)</f>
        <v>0</v>
      </c>
      <c r="CX28" s="280"/>
      <c r="CY28" s="280"/>
      <c r="CZ28" s="280">
        <f>IF(P20-600000&gt;0,P20-600000,0)</f>
        <v>0</v>
      </c>
      <c r="DA28" s="280"/>
      <c r="DB28" s="280"/>
      <c r="DC28" s="280">
        <f>IF(P22-600000&gt;0,P22-600000,0)</f>
        <v>0</v>
      </c>
      <c r="DD28" s="280"/>
      <c r="DE28" s="280"/>
      <c r="DF28" s="280">
        <f>IF(P24-600000&gt;0,P24-600000,0)</f>
        <v>0</v>
      </c>
      <c r="DG28" s="280"/>
      <c r="DH28" s="280"/>
      <c r="DI28" s="280">
        <f>IF(P26-600000&gt;0,P26-600000,0)</f>
        <v>0</v>
      </c>
      <c r="DJ28" s="280"/>
      <c r="DK28" s="281"/>
    </row>
    <row r="29" spans="2:127" ht="18.75" customHeight="1" thickBot="1" x14ac:dyDescent="0.2">
      <c r="B29" s="12" t="s">
        <v>29</v>
      </c>
      <c r="V29"/>
      <c r="W29"/>
      <c r="X29"/>
      <c r="Y29"/>
      <c r="Z29"/>
      <c r="CH29" s="50">
        <v>13</v>
      </c>
      <c r="CI29" s="405"/>
      <c r="CJ29" s="406"/>
      <c r="CK29" s="409">
        <f t="shared" si="5"/>
        <v>1300001</v>
      </c>
      <c r="CL29" s="347"/>
      <c r="CM29" s="347"/>
      <c r="CN29" s="55" t="s">
        <v>98</v>
      </c>
      <c r="CO29" s="348">
        <v>4100000</v>
      </c>
      <c r="CP29" s="348"/>
      <c r="CQ29" s="348"/>
      <c r="CR29" s="697" t="s">
        <v>92</v>
      </c>
      <c r="CS29" s="698"/>
      <c r="CT29" s="698"/>
      <c r="CU29" s="698"/>
      <c r="CV29" s="698"/>
      <c r="CW29" s="280">
        <f>P18*0.75-275000</f>
        <v>-275000</v>
      </c>
      <c r="CX29" s="280"/>
      <c r="CY29" s="280"/>
      <c r="CZ29" s="280">
        <f>P20*0.75-275000</f>
        <v>-275000</v>
      </c>
      <c r="DA29" s="280"/>
      <c r="DB29" s="280"/>
      <c r="DC29" s="280">
        <f>P22*0.75-275000</f>
        <v>-275000</v>
      </c>
      <c r="DD29" s="280"/>
      <c r="DE29" s="280"/>
      <c r="DF29" s="280">
        <f>P24*0.75-275000</f>
        <v>-275000</v>
      </c>
      <c r="DG29" s="280"/>
      <c r="DH29" s="280"/>
      <c r="DI29" s="280">
        <f>P26*0.75-275000</f>
        <v>-275000</v>
      </c>
      <c r="DJ29" s="280"/>
      <c r="DK29" s="281"/>
    </row>
    <row r="30" spans="2:127" ht="15" customHeight="1" x14ac:dyDescent="0.15">
      <c r="B30" s="181" t="s">
        <v>31</v>
      </c>
      <c r="C30" s="182"/>
      <c r="D30" s="182"/>
      <c r="E30" s="336"/>
      <c r="F30" s="442">
        <f>COUNTA(E18:E27)</f>
        <v>5</v>
      </c>
      <c r="G30" s="443"/>
      <c r="H30" s="446" t="s">
        <v>32</v>
      </c>
      <c r="I30" s="448" t="s">
        <v>33</v>
      </c>
      <c r="J30" s="449"/>
      <c r="K30" s="449"/>
      <c r="L30" s="449"/>
      <c r="M30" s="449"/>
      <c r="N30" s="450"/>
      <c r="O30" s="454">
        <f>SUM(AB18:AD27)</f>
        <v>0</v>
      </c>
      <c r="P30" s="455"/>
      <c r="Q30" s="455"/>
      <c r="R30" s="456"/>
      <c r="S30" s="446" t="s">
        <v>24</v>
      </c>
      <c r="T30" s="13"/>
      <c r="U30" s="13"/>
      <c r="V30"/>
      <c r="W30"/>
      <c r="X30"/>
      <c r="Y30"/>
      <c r="Z30"/>
      <c r="AA30" s="13"/>
      <c r="AB30" s="13"/>
      <c r="AC30" s="13"/>
      <c r="AD30" s="13"/>
      <c r="AE30" s="13"/>
      <c r="AF30" s="13"/>
      <c r="AV30" s="25"/>
      <c r="AW30" s="26"/>
      <c r="AX30" s="26"/>
      <c r="AY30" s="26"/>
      <c r="AZ30" s="26"/>
      <c r="BA30" s="26"/>
      <c r="BB30" s="28" t="s">
        <v>61</v>
      </c>
      <c r="BD30" s="25"/>
      <c r="BE30" s="27"/>
      <c r="BF30" s="27"/>
      <c r="BG30" s="27"/>
      <c r="BH30" s="27"/>
      <c r="BI30" s="27"/>
      <c r="BK30" s="27"/>
      <c r="CH30" s="50">
        <v>14</v>
      </c>
      <c r="CI30" s="405"/>
      <c r="CJ30" s="406"/>
      <c r="CK30" s="409">
        <f t="shared" si="5"/>
        <v>4100001</v>
      </c>
      <c r="CL30" s="347"/>
      <c r="CM30" s="347"/>
      <c r="CN30" s="55" t="s">
        <v>98</v>
      </c>
      <c r="CO30" s="348">
        <v>7700000</v>
      </c>
      <c r="CP30" s="348"/>
      <c r="CQ30" s="348"/>
      <c r="CR30" s="697" t="s">
        <v>93</v>
      </c>
      <c r="CS30" s="698"/>
      <c r="CT30" s="698"/>
      <c r="CU30" s="698"/>
      <c r="CV30" s="698"/>
      <c r="CW30" s="280">
        <f>P18*0.85-685000</f>
        <v>-685000</v>
      </c>
      <c r="CX30" s="280"/>
      <c r="CY30" s="280"/>
      <c r="CZ30" s="280">
        <f>P20*0.85-685000</f>
        <v>-685000</v>
      </c>
      <c r="DA30" s="280"/>
      <c r="DB30" s="280"/>
      <c r="DC30" s="280">
        <f>P22*0.85-685000</f>
        <v>-685000</v>
      </c>
      <c r="DD30" s="280"/>
      <c r="DE30" s="280"/>
      <c r="DF30" s="280">
        <f>P24*0.85-685000</f>
        <v>-685000</v>
      </c>
      <c r="DG30" s="280"/>
      <c r="DH30" s="280"/>
      <c r="DI30" s="280">
        <f>P26*0.85-685000</f>
        <v>-685000</v>
      </c>
      <c r="DJ30" s="280"/>
      <c r="DK30" s="281"/>
    </row>
    <row r="31" spans="2:127" ht="12" customHeight="1" thickBot="1" x14ac:dyDescent="0.2">
      <c r="B31" s="184"/>
      <c r="C31" s="185"/>
      <c r="D31" s="185"/>
      <c r="E31" s="441"/>
      <c r="F31" s="444"/>
      <c r="G31" s="445"/>
      <c r="H31" s="447"/>
      <c r="I31" s="451"/>
      <c r="J31" s="452"/>
      <c r="K31" s="452"/>
      <c r="L31" s="452"/>
      <c r="M31" s="452"/>
      <c r="N31" s="453"/>
      <c r="O31" s="457"/>
      <c r="P31" s="457"/>
      <c r="Q31" s="457"/>
      <c r="R31" s="458"/>
      <c r="S31" s="447"/>
      <c r="T31" s="13"/>
      <c r="U31" s="13"/>
      <c r="V31"/>
      <c r="W31"/>
      <c r="X31"/>
      <c r="Y31"/>
      <c r="Z31"/>
      <c r="AA31" s="13"/>
      <c r="AB31" s="13"/>
      <c r="AC31" s="13"/>
      <c r="AD31" s="13"/>
      <c r="AE31" s="13"/>
      <c r="AF31" s="13"/>
      <c r="AV31" s="25"/>
      <c r="AW31" s="26"/>
      <c r="AX31" s="26"/>
      <c r="AY31" s="26"/>
      <c r="AZ31" s="26"/>
      <c r="BA31" s="26"/>
      <c r="BB31" s="26"/>
      <c r="BC31" s="26"/>
      <c r="BD31" s="23"/>
      <c r="BE31" s="24"/>
      <c r="BF31" s="24"/>
      <c r="BG31" s="24"/>
      <c r="BH31" s="24"/>
      <c r="BI31" s="24"/>
      <c r="BJ31" s="24"/>
      <c r="BK31" s="24"/>
      <c r="CH31" s="50">
        <v>15</v>
      </c>
      <c r="CI31" s="405"/>
      <c r="CJ31" s="406"/>
      <c r="CK31" s="409">
        <f t="shared" si="5"/>
        <v>7700001</v>
      </c>
      <c r="CL31" s="347"/>
      <c r="CM31" s="347"/>
      <c r="CN31" s="55" t="s">
        <v>98</v>
      </c>
      <c r="CO31" s="348">
        <v>10000000</v>
      </c>
      <c r="CP31" s="348"/>
      <c r="CQ31" s="348"/>
      <c r="CR31" s="699" t="s">
        <v>94</v>
      </c>
      <c r="CS31" s="700"/>
      <c r="CT31" s="700"/>
      <c r="CU31" s="700"/>
      <c r="CV31" s="700"/>
      <c r="CW31" s="461">
        <f>P18*0.95-1455000</f>
        <v>-1455000</v>
      </c>
      <c r="CX31" s="461"/>
      <c r="CY31" s="461"/>
      <c r="CZ31" s="461">
        <f>P20*0.95-1455000</f>
        <v>-1455000</v>
      </c>
      <c r="DA31" s="461"/>
      <c r="DB31" s="461"/>
      <c r="DC31" s="461">
        <f>P22*0.95-1455000</f>
        <v>-1455000</v>
      </c>
      <c r="DD31" s="461"/>
      <c r="DE31" s="461"/>
      <c r="DF31" s="461">
        <f>P24*0.95-1455000</f>
        <v>-1455000</v>
      </c>
      <c r="DG31" s="461"/>
      <c r="DH31" s="461"/>
      <c r="DI31" s="461">
        <f>P26*0.95-1455000</f>
        <v>-1455000</v>
      </c>
      <c r="DJ31" s="461"/>
      <c r="DK31" s="701"/>
    </row>
    <row r="32" spans="2:127" ht="14.25" customHeight="1" thickBot="1" x14ac:dyDescent="0.2">
      <c r="V32" s="551"/>
      <c r="W32" s="551"/>
      <c r="X32" s="551"/>
      <c r="Y32" s="551"/>
      <c r="Z32" s="551"/>
      <c r="AS32" s="480" t="s">
        <v>30</v>
      </c>
      <c r="AT32" s="481"/>
      <c r="AU32" s="481"/>
      <c r="AV32" s="481"/>
      <c r="AW32" s="481"/>
      <c r="AX32" s="481"/>
      <c r="AY32" s="481"/>
      <c r="AZ32" s="481"/>
      <c r="BA32" s="481"/>
      <c r="BB32" s="481"/>
      <c r="BC32" s="482"/>
      <c r="BD32" s="483">
        <v>3</v>
      </c>
      <c r="BE32" s="484"/>
      <c r="BF32" s="484"/>
      <c r="BG32" s="484"/>
      <c r="BH32" s="484"/>
      <c r="BI32" s="484"/>
      <c r="BJ32" s="484"/>
      <c r="BK32" s="485"/>
      <c r="CH32" s="66">
        <v>16</v>
      </c>
      <c r="CI32" s="405"/>
      <c r="CJ32" s="406"/>
      <c r="CK32" s="486">
        <f t="shared" si="5"/>
        <v>10000001</v>
      </c>
      <c r="CL32" s="413"/>
      <c r="CM32" s="413"/>
      <c r="CN32" s="67" t="s">
        <v>98</v>
      </c>
      <c r="CO32" s="414"/>
      <c r="CP32" s="414"/>
      <c r="CQ32" s="414"/>
      <c r="CR32" s="410" t="s">
        <v>96</v>
      </c>
      <c r="CS32" s="411"/>
      <c r="CT32" s="411"/>
      <c r="CU32" s="411"/>
      <c r="CV32" s="412"/>
      <c r="CW32" s="434">
        <f>P18-1955000</f>
        <v>-1955000</v>
      </c>
      <c r="CX32" s="435"/>
      <c r="CY32" s="436"/>
      <c r="CZ32" s="434">
        <f>P20-1955000</f>
        <v>-1955000</v>
      </c>
      <c r="DA32" s="435"/>
      <c r="DB32" s="436"/>
      <c r="DC32" s="434">
        <f>P22-1955000</f>
        <v>-1955000</v>
      </c>
      <c r="DD32" s="435"/>
      <c r="DE32" s="436"/>
      <c r="DF32" s="434">
        <f>P24-1955000</f>
        <v>-1955000</v>
      </c>
      <c r="DG32" s="435"/>
      <c r="DH32" s="436"/>
      <c r="DI32" s="434">
        <f>P26-1955000</f>
        <v>-1955000</v>
      </c>
      <c r="DJ32" s="435"/>
      <c r="DK32" s="437"/>
    </row>
    <row r="33" spans="1:116" ht="18.75" customHeight="1" thickBot="1" x14ac:dyDescent="0.2">
      <c r="B33" s="12" t="str">
        <f>"国民健康保険税の算定方法（令和"&amp;BD32&amp;"年度）"</f>
        <v>国民健康保険税の算定方法（令和3年度）</v>
      </c>
      <c r="AJ33" s="466" t="s">
        <v>34</v>
      </c>
      <c r="AK33" s="466"/>
      <c r="AL33" s="466"/>
      <c r="AM33" s="466" t="s">
        <v>35</v>
      </c>
      <c r="AN33" s="466"/>
      <c r="AO33" s="466"/>
      <c r="AP33" s="467"/>
      <c r="AQ33" s="468"/>
      <c r="AR33" s="469"/>
      <c r="AS33" s="239" t="s">
        <v>36</v>
      </c>
      <c r="AT33" s="240"/>
      <c r="AU33" s="240"/>
      <c r="AV33" s="240"/>
      <c r="AW33" s="240"/>
      <c r="AX33" s="240"/>
      <c r="AY33" s="240"/>
      <c r="AZ33" s="240"/>
      <c r="BA33" s="240"/>
      <c r="BB33" s="240"/>
      <c r="BC33" s="240"/>
      <c r="BD33" s="240"/>
      <c r="BE33" s="240"/>
      <c r="BF33" s="240"/>
      <c r="BG33" s="240"/>
      <c r="BH33" s="241"/>
      <c r="CH33" s="53"/>
      <c r="CI33" s="53"/>
      <c r="CJ33" s="53"/>
      <c r="CK33" s="13"/>
      <c r="CL33" s="13"/>
      <c r="CR33" s="13"/>
      <c r="CS33" s="13"/>
    </row>
    <row r="34" spans="1:116" ht="18.75" customHeight="1" x14ac:dyDescent="0.15">
      <c r="B34" s="618"/>
      <c r="C34" s="619"/>
      <c r="D34" s="619"/>
      <c r="E34" s="619"/>
      <c r="F34" s="619"/>
      <c r="G34" s="619"/>
      <c r="H34" s="619"/>
      <c r="I34" s="619"/>
      <c r="J34" s="619"/>
      <c r="K34" s="619"/>
      <c r="L34" s="619"/>
      <c r="M34" s="619"/>
      <c r="N34" s="619"/>
      <c r="O34" s="619"/>
      <c r="P34" s="620"/>
      <c r="Q34" s="293" t="s">
        <v>36</v>
      </c>
      <c r="R34" s="217"/>
      <c r="S34" s="217"/>
      <c r="T34" s="217"/>
      <c r="U34" s="217"/>
      <c r="V34" s="217"/>
      <c r="W34" s="217"/>
      <c r="X34" s="217"/>
      <c r="Y34" s="217"/>
      <c r="Z34" s="217"/>
      <c r="AA34" s="217"/>
      <c r="AB34" s="288"/>
      <c r="AC34" s="14"/>
      <c r="AD34" s="14"/>
      <c r="AE34" s="14"/>
      <c r="AF34" s="14"/>
      <c r="AJ34" s="466"/>
      <c r="AK34" s="466"/>
      <c r="AL34" s="466"/>
      <c r="AM34" s="466"/>
      <c r="AN34" s="466"/>
      <c r="AO34" s="466"/>
      <c r="AP34" s="470"/>
      <c r="AQ34" s="471"/>
      <c r="AR34" s="472"/>
      <c r="AS34" s="219" t="s">
        <v>37</v>
      </c>
      <c r="AT34" s="219"/>
      <c r="AU34" s="219"/>
      <c r="AV34" s="219"/>
      <c r="AW34" s="239" t="s">
        <v>38</v>
      </c>
      <c r="AX34" s="240"/>
      <c r="AY34" s="240"/>
      <c r="AZ34" s="240"/>
      <c r="BA34" s="240"/>
      <c r="BB34" s="240"/>
      <c r="BC34" s="240"/>
      <c r="BD34" s="241"/>
      <c r="BE34" s="219" t="s">
        <v>39</v>
      </c>
      <c r="BF34" s="219"/>
      <c r="BG34" s="219"/>
      <c r="BH34" s="219"/>
      <c r="BM34" s="219" t="s">
        <v>70</v>
      </c>
      <c r="BN34" s="219"/>
      <c r="BO34" s="219"/>
      <c r="BP34" s="219"/>
      <c r="BQ34" s="473" t="s">
        <v>72</v>
      </c>
      <c r="BR34" s="473"/>
      <c r="BS34" s="473"/>
      <c r="BT34" s="473"/>
      <c r="BU34" s="473"/>
      <c r="BV34" s="473"/>
      <c r="BW34" s="473"/>
      <c r="BX34" s="496" t="s">
        <v>73</v>
      </c>
      <c r="BY34" s="496"/>
      <c r="BZ34" s="496"/>
      <c r="CA34" s="252">
        <v>330000</v>
      </c>
      <c r="CB34" s="252"/>
      <c r="CC34" s="252"/>
    </row>
    <row r="35" spans="1:116" ht="18.75" customHeight="1" thickBot="1" x14ac:dyDescent="0.2">
      <c r="B35" s="621"/>
      <c r="C35" s="622"/>
      <c r="D35" s="622"/>
      <c r="E35" s="622"/>
      <c r="F35" s="622"/>
      <c r="G35" s="622"/>
      <c r="H35" s="622"/>
      <c r="I35" s="622"/>
      <c r="J35" s="622"/>
      <c r="K35" s="622"/>
      <c r="L35" s="622"/>
      <c r="M35" s="622"/>
      <c r="N35" s="622"/>
      <c r="O35" s="622"/>
      <c r="P35" s="623"/>
      <c r="Q35" s="191" t="s">
        <v>37</v>
      </c>
      <c r="R35" s="188"/>
      <c r="S35" s="188"/>
      <c r="T35" s="188"/>
      <c r="U35" s="188" t="s">
        <v>38</v>
      </c>
      <c r="V35" s="188"/>
      <c r="W35" s="188"/>
      <c r="X35" s="188"/>
      <c r="Y35" s="188" t="s">
        <v>39</v>
      </c>
      <c r="Z35" s="188"/>
      <c r="AA35" s="188"/>
      <c r="AB35" s="628"/>
      <c r="AJ35" s="361">
        <f>IF(AND(40&lt;=H18,H18&lt;=64),1,0)</f>
        <v>0</v>
      </c>
      <c r="AK35" s="361"/>
      <c r="AL35" s="361"/>
      <c r="AM35" s="490">
        <f>IF(AJ35=0,0,AB18)</f>
        <v>0</v>
      </c>
      <c r="AN35" s="491"/>
      <c r="AO35" s="492"/>
      <c r="AP35" s="219" t="s">
        <v>40</v>
      </c>
      <c r="AQ35" s="219"/>
      <c r="AR35" s="219"/>
      <c r="AS35" s="624">
        <v>6.0199999999999997E-2</v>
      </c>
      <c r="AT35" s="624"/>
      <c r="AU35" s="624"/>
      <c r="AV35" s="624"/>
      <c r="AW35" s="227">
        <v>1.5299999999999999E-2</v>
      </c>
      <c r="AX35" s="228"/>
      <c r="AY35" s="228"/>
      <c r="AZ35" s="228"/>
      <c r="BA35" s="228"/>
      <c r="BB35" s="228"/>
      <c r="BC35" s="228"/>
      <c r="BD35" s="229"/>
      <c r="BE35" s="624">
        <v>1.38E-2</v>
      </c>
      <c r="BF35" s="624"/>
      <c r="BG35" s="624"/>
      <c r="BH35" s="624"/>
      <c r="BM35" s="219"/>
      <c r="BN35" s="219"/>
      <c r="BO35" s="219"/>
      <c r="BP35" s="219"/>
      <c r="BQ35" s="473"/>
      <c r="BR35" s="473"/>
      <c r="BS35" s="473"/>
      <c r="BT35" s="473"/>
      <c r="BU35" s="473"/>
      <c r="BV35" s="473"/>
      <c r="BW35" s="473"/>
      <c r="BX35" s="496"/>
      <c r="BY35" s="496"/>
      <c r="BZ35" s="496"/>
      <c r="CA35" s="252"/>
      <c r="CB35" s="252"/>
      <c r="CC35" s="252"/>
    </row>
    <row r="36" spans="1:116" ht="20.25" customHeight="1" x14ac:dyDescent="0.15">
      <c r="B36" s="625" t="s">
        <v>55</v>
      </c>
      <c r="C36" s="403"/>
      <c r="D36" s="403"/>
      <c r="E36" s="626" t="s">
        <v>41</v>
      </c>
      <c r="F36" s="626"/>
      <c r="G36" s="626"/>
      <c r="H36" s="626"/>
      <c r="I36" s="626"/>
      <c r="J36" s="626" t="s">
        <v>42</v>
      </c>
      <c r="K36" s="629"/>
      <c r="L36" s="629"/>
      <c r="M36" s="629"/>
      <c r="N36" s="629"/>
      <c r="O36" s="629"/>
      <c r="P36" s="630"/>
      <c r="Q36" s="197">
        <f>AS35</f>
        <v>6.0199999999999997E-2</v>
      </c>
      <c r="R36" s="633"/>
      <c r="S36" s="633"/>
      <c r="T36" s="633"/>
      <c r="U36" s="633">
        <f>AW35</f>
        <v>1.5299999999999999E-2</v>
      </c>
      <c r="V36" s="633"/>
      <c r="W36" s="633"/>
      <c r="X36" s="633"/>
      <c r="Y36" s="633">
        <f>BE35</f>
        <v>1.38E-2</v>
      </c>
      <c r="Z36" s="633"/>
      <c r="AA36" s="633"/>
      <c r="AB36" s="636"/>
      <c r="AJ36" s="361"/>
      <c r="AK36" s="361"/>
      <c r="AL36" s="361"/>
      <c r="AM36" s="493"/>
      <c r="AN36" s="494"/>
      <c r="AO36" s="495"/>
      <c r="AP36" s="219"/>
      <c r="AQ36" s="219"/>
      <c r="AR36" s="219"/>
      <c r="AS36" s="624"/>
      <c r="AT36" s="624"/>
      <c r="AU36" s="624"/>
      <c r="AV36" s="624"/>
      <c r="AW36" s="230"/>
      <c r="AX36" s="231"/>
      <c r="AY36" s="231"/>
      <c r="AZ36" s="231"/>
      <c r="BA36" s="231"/>
      <c r="BB36" s="231"/>
      <c r="BC36" s="231"/>
      <c r="BD36" s="232"/>
      <c r="BE36" s="624"/>
      <c r="BF36" s="624"/>
      <c r="BG36" s="624"/>
      <c r="BH36" s="624"/>
      <c r="BM36" s="219"/>
      <c r="BN36" s="219"/>
      <c r="BO36" s="219"/>
      <c r="BP36" s="219"/>
      <c r="BQ36" s="473"/>
      <c r="BR36" s="473"/>
      <c r="BS36" s="473"/>
      <c r="BT36" s="473"/>
      <c r="BU36" s="473"/>
      <c r="BV36" s="473"/>
      <c r="BW36" s="473"/>
      <c r="BX36" s="496"/>
      <c r="BY36" s="496"/>
      <c r="BZ36" s="496"/>
      <c r="CA36" s="252"/>
      <c r="CB36" s="252"/>
      <c r="CC36" s="252"/>
    </row>
    <row r="37" spans="1:116" ht="20.25" customHeight="1" x14ac:dyDescent="0.15">
      <c r="B37" s="218"/>
      <c r="C37" s="219"/>
      <c r="D37" s="219"/>
      <c r="E37" s="627"/>
      <c r="F37" s="627"/>
      <c r="G37" s="627"/>
      <c r="H37" s="627"/>
      <c r="I37" s="627"/>
      <c r="J37" s="631"/>
      <c r="K37" s="631"/>
      <c r="L37" s="631"/>
      <c r="M37" s="631"/>
      <c r="N37" s="631"/>
      <c r="O37" s="631"/>
      <c r="P37" s="632"/>
      <c r="Q37" s="634"/>
      <c r="R37" s="635"/>
      <c r="S37" s="635"/>
      <c r="T37" s="635"/>
      <c r="U37" s="635"/>
      <c r="V37" s="635"/>
      <c r="W37" s="635"/>
      <c r="X37" s="635"/>
      <c r="Y37" s="635"/>
      <c r="Z37" s="635"/>
      <c r="AA37" s="635"/>
      <c r="AB37" s="637"/>
      <c r="AJ37" s="361">
        <f>IF(AND(40&lt;=H20,H20&lt;=64),1,0)</f>
        <v>0</v>
      </c>
      <c r="AK37" s="361"/>
      <c r="AL37" s="361"/>
      <c r="AM37" s="490">
        <f>IF(AJ37=0,0,AB20)</f>
        <v>0</v>
      </c>
      <c r="AN37" s="491"/>
      <c r="AO37" s="492"/>
      <c r="AP37" s="219" t="s">
        <v>43</v>
      </c>
      <c r="AQ37" s="219"/>
      <c r="AR37" s="219"/>
      <c r="AS37" s="501">
        <v>24800</v>
      </c>
      <c r="AT37" s="226"/>
      <c r="AU37" s="226"/>
      <c r="AV37" s="226"/>
      <c r="AW37" s="233">
        <v>8400</v>
      </c>
      <c r="AX37" s="234"/>
      <c r="AY37" s="234"/>
      <c r="AZ37" s="234"/>
      <c r="BA37" s="234"/>
      <c r="BB37" s="234"/>
      <c r="BC37" s="234"/>
      <c r="BD37" s="235"/>
      <c r="BE37" s="501">
        <v>8900</v>
      </c>
      <c r="BF37" s="226"/>
      <c r="BG37" s="226"/>
      <c r="BH37" s="226"/>
      <c r="BM37" s="219" t="s">
        <v>69</v>
      </c>
      <c r="BN37" s="219"/>
      <c r="BO37" s="219"/>
      <c r="BP37" s="219"/>
      <c r="BQ37" s="473" t="s">
        <v>76</v>
      </c>
      <c r="BR37" s="473" t="s">
        <v>67</v>
      </c>
      <c r="BS37" s="473" t="s">
        <v>67</v>
      </c>
      <c r="BT37" s="473" t="s">
        <v>67</v>
      </c>
      <c r="BU37" s="473" t="s">
        <v>67</v>
      </c>
      <c r="BV37" s="473" t="s">
        <v>67</v>
      </c>
      <c r="BW37" s="473" t="s">
        <v>67</v>
      </c>
      <c r="BX37" s="496" t="s">
        <v>74</v>
      </c>
      <c r="BY37" s="496"/>
      <c r="BZ37" s="496"/>
      <c r="CA37" s="252">
        <v>285000</v>
      </c>
      <c r="CB37" s="252"/>
      <c r="CC37" s="252"/>
    </row>
    <row r="38" spans="1:116" ht="20.25" customHeight="1" x14ac:dyDescent="0.15">
      <c r="B38" s="218" t="s">
        <v>56</v>
      </c>
      <c r="C38" s="219"/>
      <c r="D38" s="219"/>
      <c r="E38" s="627" t="s">
        <v>45</v>
      </c>
      <c r="F38" s="627"/>
      <c r="G38" s="627"/>
      <c r="H38" s="627"/>
      <c r="I38" s="627"/>
      <c r="J38" s="649" t="s">
        <v>46</v>
      </c>
      <c r="K38" s="164"/>
      <c r="L38" s="164"/>
      <c r="M38" s="164"/>
      <c r="N38" s="164"/>
      <c r="O38" s="164"/>
      <c r="P38" s="165"/>
      <c r="Q38" s="650" t="str">
        <f>FIXED(AS37,0,FALSE)&amp;"円"&amp;CHAR(10)&amp;"×加入者数"</f>
        <v>24,800円
×加入者数</v>
      </c>
      <c r="R38" s="651"/>
      <c r="S38" s="651"/>
      <c r="T38" s="651"/>
      <c r="U38" s="651" t="str">
        <f>FIXED(AW37,0,FALSE)&amp;"円"&amp;CHAR(10)&amp;"×加入者数"</f>
        <v>8,400円
×加入者数</v>
      </c>
      <c r="V38" s="651"/>
      <c r="W38" s="651"/>
      <c r="X38" s="651"/>
      <c r="Y38" s="651" t="str">
        <f>FIXED(BE37,0,FALSE)&amp;"円"&amp;CHAR(10)&amp;"×加入者数"</f>
        <v>8,900円
×加入者数</v>
      </c>
      <c r="Z38" s="651"/>
      <c r="AA38" s="651"/>
      <c r="AB38" s="652"/>
      <c r="AJ38" s="361"/>
      <c r="AK38" s="361"/>
      <c r="AL38" s="361"/>
      <c r="AM38" s="493"/>
      <c r="AN38" s="494"/>
      <c r="AO38" s="495"/>
      <c r="AP38" s="219"/>
      <c r="AQ38" s="219"/>
      <c r="AR38" s="219"/>
      <c r="AS38" s="226"/>
      <c r="AT38" s="226"/>
      <c r="AU38" s="226"/>
      <c r="AV38" s="226"/>
      <c r="AW38" s="236"/>
      <c r="AX38" s="237"/>
      <c r="AY38" s="237"/>
      <c r="AZ38" s="237"/>
      <c r="BA38" s="237"/>
      <c r="BB38" s="237"/>
      <c r="BC38" s="237"/>
      <c r="BD38" s="238"/>
      <c r="BE38" s="226"/>
      <c r="BF38" s="226"/>
      <c r="BG38" s="226"/>
      <c r="BH38" s="226"/>
      <c r="BM38" s="219"/>
      <c r="BN38" s="219"/>
      <c r="BO38" s="219"/>
      <c r="BP38" s="219"/>
      <c r="BQ38" s="473"/>
      <c r="BR38" s="473"/>
      <c r="BS38" s="473"/>
      <c r="BT38" s="473"/>
      <c r="BU38" s="473"/>
      <c r="BV38" s="473"/>
      <c r="BW38" s="473"/>
      <c r="BX38" s="496"/>
      <c r="BY38" s="496"/>
      <c r="BZ38" s="496"/>
      <c r="CA38" s="252"/>
      <c r="CB38" s="252"/>
      <c r="CC38" s="252"/>
    </row>
    <row r="39" spans="1:116" ht="20.25" customHeight="1" x14ac:dyDescent="0.15">
      <c r="B39" s="218"/>
      <c r="C39" s="219"/>
      <c r="D39" s="219"/>
      <c r="E39" s="627"/>
      <c r="F39" s="627"/>
      <c r="G39" s="627"/>
      <c r="H39" s="627"/>
      <c r="I39" s="627"/>
      <c r="J39" s="164"/>
      <c r="K39" s="164"/>
      <c r="L39" s="164"/>
      <c r="M39" s="164"/>
      <c r="N39" s="164"/>
      <c r="O39" s="164"/>
      <c r="P39" s="165"/>
      <c r="Q39" s="650"/>
      <c r="R39" s="651"/>
      <c r="S39" s="651"/>
      <c r="T39" s="651"/>
      <c r="U39" s="651"/>
      <c r="V39" s="651"/>
      <c r="W39" s="651"/>
      <c r="X39" s="651"/>
      <c r="Y39" s="651"/>
      <c r="Z39" s="651"/>
      <c r="AA39" s="651"/>
      <c r="AB39" s="652"/>
      <c r="AJ39" s="361">
        <f>IF(AND(40&lt;=H22,H22&lt;=64),1,0)</f>
        <v>0</v>
      </c>
      <c r="AK39" s="361"/>
      <c r="AL39" s="361"/>
      <c r="AM39" s="490">
        <f>IF(AJ39=0,0,AB22)</f>
        <v>0</v>
      </c>
      <c r="AN39" s="491"/>
      <c r="AO39" s="492"/>
      <c r="AP39" s="219" t="s">
        <v>44</v>
      </c>
      <c r="AQ39" s="219"/>
      <c r="AR39" s="219"/>
      <c r="AS39" s="226">
        <v>20400</v>
      </c>
      <c r="AT39" s="226"/>
      <c r="AU39" s="226"/>
      <c r="AV39" s="226"/>
      <c r="AW39" s="220">
        <v>4800</v>
      </c>
      <c r="AX39" s="221"/>
      <c r="AY39" s="221"/>
      <c r="AZ39" s="221"/>
      <c r="BA39" s="221"/>
      <c r="BB39" s="221"/>
      <c r="BC39" s="221"/>
      <c r="BD39" s="222"/>
      <c r="BE39" s="226">
        <v>4700</v>
      </c>
      <c r="BF39" s="226"/>
      <c r="BG39" s="226"/>
      <c r="BH39" s="226"/>
      <c r="BM39" s="219"/>
      <c r="BN39" s="219"/>
      <c r="BO39" s="219"/>
      <c r="BP39" s="219"/>
      <c r="BQ39" s="473"/>
      <c r="BR39" s="473"/>
      <c r="BS39" s="473"/>
      <c r="BT39" s="473"/>
      <c r="BU39" s="473"/>
      <c r="BV39" s="473"/>
      <c r="BW39" s="473"/>
      <c r="BX39" s="496"/>
      <c r="BY39" s="496"/>
      <c r="BZ39" s="496"/>
      <c r="CA39" s="252"/>
      <c r="CB39" s="252"/>
      <c r="CC39" s="252"/>
    </row>
    <row r="40" spans="1:116" ht="20.25" customHeight="1" x14ac:dyDescent="0.15">
      <c r="B40" s="218" t="s">
        <v>57</v>
      </c>
      <c r="C40" s="219"/>
      <c r="D40" s="219"/>
      <c r="E40" s="627" t="s">
        <v>48</v>
      </c>
      <c r="F40" s="627"/>
      <c r="G40" s="627"/>
      <c r="H40" s="627"/>
      <c r="I40" s="627"/>
      <c r="J40" s="649" t="s">
        <v>49</v>
      </c>
      <c r="K40" s="164"/>
      <c r="L40" s="164"/>
      <c r="M40" s="164"/>
      <c r="N40" s="164"/>
      <c r="O40" s="164"/>
      <c r="P40" s="165"/>
      <c r="Q40" s="653">
        <f>AS39</f>
        <v>20400</v>
      </c>
      <c r="R40" s="654"/>
      <c r="S40" s="654"/>
      <c r="T40" s="654"/>
      <c r="U40" s="654">
        <f>AW39</f>
        <v>4800</v>
      </c>
      <c r="V40" s="654"/>
      <c r="W40" s="654"/>
      <c r="X40" s="654"/>
      <c r="Y40" s="654">
        <f>BE39</f>
        <v>4700</v>
      </c>
      <c r="Z40" s="654"/>
      <c r="AA40" s="654"/>
      <c r="AB40" s="655"/>
      <c r="AJ40" s="361"/>
      <c r="AK40" s="361"/>
      <c r="AL40" s="361"/>
      <c r="AM40" s="493"/>
      <c r="AN40" s="494"/>
      <c r="AO40" s="495"/>
      <c r="AP40" s="219"/>
      <c r="AQ40" s="219"/>
      <c r="AR40" s="219"/>
      <c r="AS40" s="226"/>
      <c r="AT40" s="226"/>
      <c r="AU40" s="226"/>
      <c r="AV40" s="226"/>
      <c r="AW40" s="223"/>
      <c r="AX40" s="224"/>
      <c r="AY40" s="224"/>
      <c r="AZ40" s="224"/>
      <c r="BA40" s="224"/>
      <c r="BB40" s="224"/>
      <c r="BC40" s="224"/>
      <c r="BD40" s="225"/>
      <c r="BE40" s="226"/>
      <c r="BF40" s="226"/>
      <c r="BG40" s="226"/>
      <c r="BH40" s="226"/>
      <c r="BM40" s="219" t="s">
        <v>71</v>
      </c>
      <c r="BN40" s="219"/>
      <c r="BO40" s="219"/>
      <c r="BP40" s="219"/>
      <c r="BQ40" s="473" t="s">
        <v>77</v>
      </c>
      <c r="BR40" s="473" t="s">
        <v>68</v>
      </c>
      <c r="BS40" s="473" t="s">
        <v>68</v>
      </c>
      <c r="BT40" s="473" t="s">
        <v>68</v>
      </c>
      <c r="BU40" s="473" t="s">
        <v>68</v>
      </c>
      <c r="BV40" s="473" t="s">
        <v>68</v>
      </c>
      <c r="BW40" s="473" t="s">
        <v>68</v>
      </c>
      <c r="BX40" s="496" t="s">
        <v>75</v>
      </c>
      <c r="BY40" s="496"/>
      <c r="BZ40" s="496"/>
      <c r="CA40" s="252">
        <v>520000</v>
      </c>
      <c r="CB40" s="252"/>
      <c r="CC40" s="252"/>
    </row>
    <row r="41" spans="1:116" ht="20.25" customHeight="1" x14ac:dyDescent="0.15">
      <c r="B41" s="218"/>
      <c r="C41" s="219"/>
      <c r="D41" s="219"/>
      <c r="E41" s="627"/>
      <c r="F41" s="627"/>
      <c r="G41" s="627"/>
      <c r="H41" s="627"/>
      <c r="I41" s="627"/>
      <c r="J41" s="164"/>
      <c r="K41" s="164"/>
      <c r="L41" s="164"/>
      <c r="M41" s="164"/>
      <c r="N41" s="164"/>
      <c r="O41" s="164"/>
      <c r="P41" s="165"/>
      <c r="Q41" s="653"/>
      <c r="R41" s="654"/>
      <c r="S41" s="654"/>
      <c r="T41" s="654"/>
      <c r="U41" s="654"/>
      <c r="V41" s="654"/>
      <c r="W41" s="654"/>
      <c r="X41" s="654"/>
      <c r="Y41" s="654"/>
      <c r="Z41" s="654"/>
      <c r="AA41" s="654"/>
      <c r="AB41" s="655"/>
      <c r="AJ41" s="361">
        <f>IF(AND(40&lt;=H24,H24&lt;=64),1,0)</f>
        <v>0</v>
      </c>
      <c r="AK41" s="361"/>
      <c r="AL41" s="361"/>
      <c r="AM41" s="490">
        <f>IF(AJ41=0,0,AB24)</f>
        <v>0</v>
      </c>
      <c r="AN41" s="491"/>
      <c r="AO41" s="492"/>
      <c r="AP41" s="219" t="s">
        <v>47</v>
      </c>
      <c r="AQ41" s="219"/>
      <c r="AR41" s="219"/>
      <c r="AS41" s="226">
        <v>630000</v>
      </c>
      <c r="AT41" s="226"/>
      <c r="AU41" s="226"/>
      <c r="AV41" s="226"/>
      <c r="AW41" s="220">
        <v>190000</v>
      </c>
      <c r="AX41" s="221"/>
      <c r="AY41" s="221"/>
      <c r="AZ41" s="221"/>
      <c r="BA41" s="221"/>
      <c r="BB41" s="221"/>
      <c r="BC41" s="221"/>
      <c r="BD41" s="222"/>
      <c r="BE41" s="226">
        <v>170000</v>
      </c>
      <c r="BF41" s="226"/>
      <c r="BG41" s="226"/>
      <c r="BH41" s="226"/>
      <c r="BM41" s="219"/>
      <c r="BN41" s="219"/>
      <c r="BO41" s="219"/>
      <c r="BP41" s="219"/>
      <c r="BQ41" s="473"/>
      <c r="BR41" s="473"/>
      <c r="BS41" s="473"/>
      <c r="BT41" s="473"/>
      <c r="BU41" s="473"/>
      <c r="BV41" s="473"/>
      <c r="BW41" s="473"/>
      <c r="BX41" s="496"/>
      <c r="BY41" s="496"/>
      <c r="BZ41" s="496"/>
      <c r="CA41" s="252"/>
      <c r="CB41" s="252"/>
      <c r="CC41" s="252"/>
    </row>
    <row r="42" spans="1:116" ht="20.25" customHeight="1" x14ac:dyDescent="0.15">
      <c r="B42" s="218" t="s">
        <v>58</v>
      </c>
      <c r="C42" s="219"/>
      <c r="D42" s="239"/>
      <c r="E42" s="638" t="s">
        <v>60</v>
      </c>
      <c r="F42" s="639"/>
      <c r="G42" s="639"/>
      <c r="H42" s="639"/>
      <c r="I42" s="639"/>
      <c r="J42" s="639"/>
      <c r="K42" s="639"/>
      <c r="L42" s="639"/>
      <c r="M42" s="639"/>
      <c r="N42" s="639"/>
      <c r="O42" s="639"/>
      <c r="P42" s="640"/>
      <c r="Q42" s="644">
        <f>AS41/10000</f>
        <v>63</v>
      </c>
      <c r="R42" s="510"/>
      <c r="S42" s="510"/>
      <c r="T42" s="510"/>
      <c r="U42" s="510">
        <f>AW41/10000</f>
        <v>19</v>
      </c>
      <c r="V42" s="510"/>
      <c r="W42" s="510"/>
      <c r="X42" s="510"/>
      <c r="Y42" s="510">
        <f>BE41/10000</f>
        <v>17</v>
      </c>
      <c r="Z42" s="510"/>
      <c r="AA42" s="510"/>
      <c r="AB42" s="646"/>
      <c r="AJ42" s="497"/>
      <c r="AK42" s="497"/>
      <c r="AL42" s="497"/>
      <c r="AM42" s="498"/>
      <c r="AN42" s="499"/>
      <c r="AO42" s="500"/>
      <c r="AP42" s="219"/>
      <c r="AQ42" s="219"/>
      <c r="AR42" s="219"/>
      <c r="AS42" s="226"/>
      <c r="AT42" s="226"/>
      <c r="AU42" s="226"/>
      <c r="AV42" s="226"/>
      <c r="AW42" s="223"/>
      <c r="AX42" s="224"/>
      <c r="AY42" s="224"/>
      <c r="AZ42" s="224"/>
      <c r="BA42" s="224"/>
      <c r="BB42" s="224"/>
      <c r="BC42" s="224"/>
      <c r="BD42" s="225"/>
      <c r="BE42" s="226"/>
      <c r="BF42" s="226"/>
      <c r="BG42" s="226"/>
      <c r="BH42" s="226"/>
      <c r="BM42" s="219"/>
      <c r="BN42" s="219"/>
      <c r="BO42" s="219"/>
      <c r="BP42" s="219"/>
      <c r="BQ42" s="473"/>
      <c r="BR42" s="473"/>
      <c r="BS42" s="473"/>
      <c r="BT42" s="473"/>
      <c r="BU42" s="473"/>
      <c r="BV42" s="473"/>
      <c r="BW42" s="473"/>
      <c r="BX42" s="496"/>
      <c r="BY42" s="496"/>
      <c r="BZ42" s="496"/>
      <c r="CA42" s="252"/>
      <c r="CB42" s="252"/>
      <c r="CC42" s="252"/>
    </row>
    <row r="43" spans="1:116" ht="20.25" customHeight="1" thickBot="1" x14ac:dyDescent="0.2">
      <c r="B43" s="544"/>
      <c r="C43" s="422"/>
      <c r="D43" s="545"/>
      <c r="E43" s="641"/>
      <c r="F43" s="642"/>
      <c r="G43" s="642"/>
      <c r="H43" s="642"/>
      <c r="I43" s="642"/>
      <c r="J43" s="642"/>
      <c r="K43" s="642"/>
      <c r="L43" s="642"/>
      <c r="M43" s="642"/>
      <c r="N43" s="642"/>
      <c r="O43" s="642"/>
      <c r="P43" s="643"/>
      <c r="Q43" s="645"/>
      <c r="R43" s="512"/>
      <c r="S43" s="512"/>
      <c r="T43" s="512"/>
      <c r="U43" s="512"/>
      <c r="V43" s="512"/>
      <c r="W43" s="512"/>
      <c r="X43" s="512"/>
      <c r="Y43" s="512"/>
      <c r="Z43" s="512"/>
      <c r="AA43" s="512"/>
      <c r="AB43" s="647"/>
      <c r="AJ43" s="361">
        <f>IF(AND(40&lt;=H26,H26&lt;=64),1,0)</f>
        <v>0</v>
      </c>
      <c r="AK43" s="361"/>
      <c r="AL43" s="361"/>
      <c r="AM43" s="490">
        <f>IF(AJ43=0,0,AB26)</f>
        <v>0</v>
      </c>
      <c r="AN43" s="491"/>
      <c r="AO43" s="492"/>
      <c r="AP43" s="13"/>
      <c r="BM43" s="546"/>
      <c r="BN43" s="546"/>
      <c r="BO43" s="546"/>
      <c r="BP43" s="546"/>
      <c r="BQ43" s="547"/>
      <c r="BR43" s="547"/>
      <c r="BS43" s="547"/>
      <c r="BT43" s="547"/>
      <c r="BU43" s="547"/>
      <c r="BV43" s="547"/>
      <c r="BW43" s="547"/>
      <c r="BX43" s="575"/>
      <c r="BY43" s="575"/>
      <c r="BZ43" s="575"/>
    </row>
    <row r="44" spans="1:116" ht="20.25" customHeight="1" thickBot="1" x14ac:dyDescent="0.2">
      <c r="AH44" s="15"/>
      <c r="AJ44" s="497"/>
      <c r="AK44" s="497"/>
      <c r="AL44" s="497"/>
      <c r="AM44" s="498"/>
      <c r="AN44" s="499"/>
      <c r="AO44" s="500"/>
      <c r="AP44" s="13"/>
    </row>
    <row r="45" spans="1:116" ht="20.25" customHeight="1" thickBot="1" x14ac:dyDescent="0.2">
      <c r="B45" s="12" t="s">
        <v>50</v>
      </c>
      <c r="AJ45" s="561">
        <f>SUM(AJ35:AL44)</f>
        <v>0</v>
      </c>
      <c r="AK45" s="562"/>
      <c r="AL45" s="563"/>
      <c r="AM45" s="567">
        <f>SUM(AM35:AO44)</f>
        <v>0</v>
      </c>
      <c r="AN45" s="568"/>
      <c r="AO45" s="569"/>
    </row>
    <row r="46" spans="1:116" ht="19.5" customHeight="1" thickBot="1" x14ac:dyDescent="0.2">
      <c r="B46" s="487"/>
      <c r="C46" s="488"/>
      <c r="D46" s="489"/>
      <c r="E46" s="525" t="s">
        <v>37</v>
      </c>
      <c r="F46" s="152"/>
      <c r="G46" s="153"/>
      <c r="H46" s="151" t="s">
        <v>38</v>
      </c>
      <c r="I46" s="152"/>
      <c r="J46" s="153"/>
      <c r="K46" s="151" t="s">
        <v>39</v>
      </c>
      <c r="L46" s="152"/>
      <c r="M46" s="152"/>
      <c r="N46" s="693" t="s">
        <v>51</v>
      </c>
      <c r="O46" s="694"/>
      <c r="P46" s="695"/>
      <c r="R46" s="12" t="str">
        <f>"令和"&amp;BD32&amp;"年度"</f>
        <v>令和3年度</v>
      </c>
      <c r="AJ46" s="564"/>
      <c r="AK46" s="565"/>
      <c r="AL46" s="566"/>
      <c r="AM46" s="570"/>
      <c r="AN46" s="571"/>
      <c r="AO46" s="572"/>
    </row>
    <row r="47" spans="1:116" ht="20.25" customHeight="1" x14ac:dyDescent="0.15">
      <c r="B47" s="656" t="s">
        <v>55</v>
      </c>
      <c r="C47" s="657"/>
      <c r="D47" s="658"/>
      <c r="E47" s="539">
        <f>IF($O$30&lt;0,0,$O$30*AS35)</f>
        <v>0</v>
      </c>
      <c r="F47" s="540"/>
      <c r="G47" s="540"/>
      <c r="H47" s="541">
        <f>IF($O$30&lt;0,0,$O$30*AW35)</f>
        <v>0</v>
      </c>
      <c r="I47" s="542"/>
      <c r="J47" s="543"/>
      <c r="K47" s="540">
        <f>IF(AJ45=0,0,IF($AM$45&lt;=0,0,$AM$45*BE35))</f>
        <v>0</v>
      </c>
      <c r="L47" s="540"/>
      <c r="M47" s="541"/>
      <c r="N47" s="660">
        <f>SUM(E47:M47)</f>
        <v>0</v>
      </c>
      <c r="O47" s="116"/>
      <c r="P47" s="117"/>
      <c r="R47" s="12" t="s">
        <v>52</v>
      </c>
      <c r="S47" s="16"/>
      <c r="T47" s="16"/>
      <c r="U47" s="16"/>
      <c r="V47" s="16"/>
      <c r="W47" s="16"/>
      <c r="X47" s="16"/>
      <c r="Y47" s="16"/>
      <c r="Z47" s="16"/>
      <c r="AA47" s="16"/>
    </row>
    <row r="48" spans="1:116" ht="18.75" customHeight="1" x14ac:dyDescent="0.15">
      <c r="A48" s="2" t="str">
        <f>IF(OR(E10="※",E11="※",E12="※"),"※","")</f>
        <v>※</v>
      </c>
      <c r="B48" s="163" t="s">
        <v>56</v>
      </c>
      <c r="C48" s="164"/>
      <c r="D48" s="165"/>
      <c r="E48" s="166">
        <f>IF($F$30&lt;0,0,$F$30*AS37)</f>
        <v>124000</v>
      </c>
      <c r="F48" s="167"/>
      <c r="G48" s="167"/>
      <c r="H48" s="168">
        <f>IF($F$30&lt;0,0,$F$30*AW37)</f>
        <v>42000</v>
      </c>
      <c r="I48" s="169"/>
      <c r="J48" s="170"/>
      <c r="K48" s="167">
        <f>IF(AJ45=0,0,AJ45*BE37)</f>
        <v>0</v>
      </c>
      <c r="L48" s="167"/>
      <c r="M48" s="168"/>
      <c r="N48" s="648">
        <f>SUM(E48:M48)</f>
        <v>166000</v>
      </c>
      <c r="O48" s="119"/>
      <c r="P48" s="120"/>
      <c r="U48" s="502">
        <f>N51</f>
        <v>191200</v>
      </c>
      <c r="V48" s="503"/>
      <c r="W48" s="503"/>
      <c r="X48" s="503"/>
      <c r="Y48" s="503"/>
      <c r="Z48" s="154" t="s">
        <v>53</v>
      </c>
      <c r="AA48" s="154"/>
      <c r="AB48" s="154"/>
      <c r="AC48" s="154"/>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row>
    <row r="49" spans="1:116" ht="18.75" customHeight="1" thickBot="1" x14ac:dyDescent="0.2">
      <c r="A49" s="2" t="str">
        <f>IF(OR(E10="※",E11="※",E12="※"),"※","")</f>
        <v>※</v>
      </c>
      <c r="B49" s="155" t="s">
        <v>57</v>
      </c>
      <c r="C49" s="156"/>
      <c r="D49" s="157"/>
      <c r="E49" s="158">
        <f>IF($F$30=0,0,AS39)</f>
        <v>20400</v>
      </c>
      <c r="F49" s="159"/>
      <c r="G49" s="159"/>
      <c r="H49" s="160">
        <f>IF($F$30=0,0,AW39)</f>
        <v>4800</v>
      </c>
      <c r="I49" s="161"/>
      <c r="J49" s="162"/>
      <c r="K49" s="159">
        <f>IF(AJ45=0,0,BE39)</f>
        <v>0</v>
      </c>
      <c r="L49" s="159"/>
      <c r="M49" s="160"/>
      <c r="N49" s="659">
        <f>SUM(E49:M49)</f>
        <v>25200</v>
      </c>
      <c r="O49" s="122"/>
      <c r="P49" s="123"/>
      <c r="U49" s="504"/>
      <c r="V49" s="504"/>
      <c r="W49" s="504"/>
      <c r="X49" s="504"/>
      <c r="Y49" s="504"/>
      <c r="Z49" s="154"/>
      <c r="AA49" s="154"/>
      <c r="AB49" s="154"/>
      <c r="AC49" s="154"/>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row>
    <row r="50" spans="1:116" ht="18.75" customHeight="1" thickTop="1" thickBot="1" x14ac:dyDescent="0.2">
      <c r="B50" s="106" t="s">
        <v>51</v>
      </c>
      <c r="C50" s="661"/>
      <c r="D50" s="662"/>
      <c r="E50" s="663">
        <f>SUM(E47:G49)</f>
        <v>144400</v>
      </c>
      <c r="F50" s="664"/>
      <c r="G50" s="665"/>
      <c r="H50" s="666">
        <f>SUM(H47:J49)</f>
        <v>46800</v>
      </c>
      <c r="I50" s="667"/>
      <c r="J50" s="668"/>
      <c r="K50" s="669">
        <f>SUM(K47:M49)</f>
        <v>0</v>
      </c>
      <c r="L50" s="664"/>
      <c r="M50" s="664"/>
      <c r="N50" s="670">
        <f>SUM(E50:M50)</f>
        <v>191200</v>
      </c>
      <c r="O50" s="125"/>
      <c r="P50" s="126"/>
      <c r="U50" s="17" t="str">
        <f>"（ひと月あたり　　約 "&amp;TEXT(ROUNDUP(U48/12,-3),"#,##0"&amp;"円）")</f>
        <v>（ひと月あたり　　約 16,000円)</v>
      </c>
      <c r="V50" s="17"/>
      <c r="W50" s="17"/>
      <c r="X50" s="17"/>
      <c r="Y50" s="17"/>
      <c r="Z50" s="17"/>
      <c r="AA50" s="17"/>
      <c r="AB50" s="17"/>
      <c r="AC50" s="22"/>
      <c r="AD50" s="22"/>
    </row>
    <row r="51" spans="1:116" ht="18.75" customHeight="1" x14ac:dyDescent="0.15">
      <c r="B51" s="103" t="s">
        <v>54</v>
      </c>
      <c r="C51" s="104"/>
      <c r="D51" s="105"/>
      <c r="E51" s="671">
        <f>IF(E50&gt;AS41,AS41,ROUNDDOWN(E50,-2))</f>
        <v>144400</v>
      </c>
      <c r="F51" s="672"/>
      <c r="G51" s="673"/>
      <c r="H51" s="680">
        <f>IF(H50&gt;AW41,AW41,ROUNDDOWN(H50,-2))</f>
        <v>46800</v>
      </c>
      <c r="I51" s="672"/>
      <c r="J51" s="673"/>
      <c r="K51" s="680">
        <f>IF(K50&gt;BE41,BE41,ROUNDDOWN(K50,-2))</f>
        <v>0</v>
      </c>
      <c r="L51" s="672"/>
      <c r="M51" s="672"/>
      <c r="N51" s="683">
        <f>SUM(E51:M51)</f>
        <v>191200</v>
      </c>
      <c r="O51" s="684"/>
      <c r="P51" s="685"/>
      <c r="U51" s="17"/>
      <c r="V51" s="17"/>
      <c r="W51" s="17"/>
      <c r="X51" s="17"/>
      <c r="Y51" s="17"/>
      <c r="Z51" s="17"/>
      <c r="AA51" s="17"/>
      <c r="AB51" s="17"/>
      <c r="AC51" s="22"/>
      <c r="AD51" s="22"/>
    </row>
    <row r="52" spans="1:116" ht="18.75" customHeight="1" x14ac:dyDescent="0.15">
      <c r="B52" s="106"/>
      <c r="C52" s="107"/>
      <c r="D52" s="108"/>
      <c r="E52" s="674"/>
      <c r="F52" s="675"/>
      <c r="G52" s="676"/>
      <c r="H52" s="681"/>
      <c r="I52" s="675"/>
      <c r="J52" s="676"/>
      <c r="K52" s="681"/>
      <c r="L52" s="675"/>
      <c r="M52" s="675"/>
      <c r="N52" s="686"/>
      <c r="O52" s="687"/>
      <c r="P52" s="688"/>
      <c r="R52" s="692" t="s">
        <v>59</v>
      </c>
      <c r="S52" s="692"/>
      <c r="T52" s="692"/>
      <c r="U52" s="692"/>
      <c r="V52" s="692"/>
      <c r="W52" s="692"/>
      <c r="X52" s="692"/>
      <c r="Y52" s="692"/>
      <c r="Z52" s="692"/>
      <c r="AA52" s="692"/>
      <c r="AB52" s="692"/>
      <c r="AC52" s="692"/>
      <c r="AD52" s="692"/>
      <c r="AE52" s="17"/>
    </row>
    <row r="53" spans="1:116" ht="18.75" customHeight="1" thickBot="1" x14ac:dyDescent="0.2">
      <c r="B53" s="109"/>
      <c r="C53" s="110"/>
      <c r="D53" s="111"/>
      <c r="E53" s="677"/>
      <c r="F53" s="678"/>
      <c r="G53" s="679"/>
      <c r="H53" s="682"/>
      <c r="I53" s="678"/>
      <c r="J53" s="679"/>
      <c r="K53" s="682"/>
      <c r="L53" s="678"/>
      <c r="M53" s="678"/>
      <c r="N53" s="689"/>
      <c r="O53" s="690"/>
      <c r="P53" s="691"/>
      <c r="Q53" s="18"/>
      <c r="R53" s="692"/>
      <c r="S53" s="692"/>
      <c r="T53" s="692"/>
      <c r="U53" s="692"/>
      <c r="V53" s="692"/>
      <c r="W53" s="692"/>
      <c r="X53" s="692"/>
      <c r="Y53" s="692"/>
      <c r="Z53" s="692"/>
      <c r="AA53" s="692"/>
      <c r="AB53" s="692"/>
      <c r="AC53" s="692"/>
      <c r="AD53" s="692"/>
      <c r="AE53" s="17"/>
    </row>
    <row r="54" spans="1:116" ht="18.75" customHeight="1" x14ac:dyDescent="0.15">
      <c r="Q54" s="18"/>
      <c r="R54" s="692"/>
      <c r="S54" s="692"/>
      <c r="T54" s="692"/>
      <c r="U54" s="692"/>
      <c r="V54" s="692"/>
      <c r="W54" s="692"/>
      <c r="X54" s="692"/>
      <c r="Y54" s="692"/>
      <c r="Z54" s="692"/>
      <c r="AA54" s="692"/>
      <c r="AB54" s="692"/>
      <c r="AC54" s="692"/>
      <c r="AD54" s="692"/>
      <c r="AE54" s="17"/>
    </row>
    <row r="55" spans="1:116" ht="18.75" customHeight="1" x14ac:dyDescent="0.15">
      <c r="AC55" s="18"/>
      <c r="AD55" s="18"/>
      <c r="AE55" s="17"/>
    </row>
    <row r="56" spans="1:116" ht="18.75" customHeight="1" x14ac:dyDescent="0.15">
      <c r="AC56" s="18"/>
      <c r="AD56" s="18"/>
      <c r="AE56" s="19"/>
      <c r="AF56" s="19"/>
    </row>
    <row r="57" spans="1:116" ht="26.25" customHeight="1" x14ac:dyDescent="0.15">
      <c r="AC57" s="19"/>
      <c r="AD57" s="19"/>
      <c r="AE57" s="19"/>
      <c r="AF57" s="19"/>
    </row>
  </sheetData>
  <mergeCells count="484">
    <mergeCell ref="DC32:DE32"/>
    <mergeCell ref="DF32:DH32"/>
    <mergeCell ref="DI32:DK32"/>
    <mergeCell ref="CI25:CJ32"/>
    <mergeCell ref="CK31:CM31"/>
    <mergeCell ref="CK18:CM18"/>
    <mergeCell ref="CK19:CM19"/>
    <mergeCell ref="CK20:CM20"/>
    <mergeCell ref="CK21:CM21"/>
    <mergeCell ref="CK22:CM22"/>
    <mergeCell ref="CK23:CM23"/>
    <mergeCell ref="CK24:CM24"/>
    <mergeCell ref="CK25:CM25"/>
    <mergeCell ref="CK26:CM26"/>
    <mergeCell ref="CK27:CM27"/>
    <mergeCell ref="CK28:CM28"/>
    <mergeCell ref="CK29:CM29"/>
    <mergeCell ref="CK30:CM30"/>
    <mergeCell ref="CK32:CM32"/>
    <mergeCell ref="CO18:CQ18"/>
    <mergeCell ref="CO19:CQ19"/>
    <mergeCell ref="CO20:CQ20"/>
    <mergeCell ref="CO21:CQ21"/>
    <mergeCell ref="CR25:CV25"/>
    <mergeCell ref="CR32:CV32"/>
    <mergeCell ref="CW32:CY32"/>
    <mergeCell ref="CZ32:DB32"/>
    <mergeCell ref="CO25:CQ25"/>
    <mergeCell ref="CO26:CQ26"/>
    <mergeCell ref="CO27:CQ27"/>
    <mergeCell ref="CO28:CQ28"/>
    <mergeCell ref="CO29:CQ29"/>
    <mergeCell ref="CO30:CQ30"/>
    <mergeCell ref="CO31:CQ31"/>
    <mergeCell ref="CO32:CQ32"/>
    <mergeCell ref="CW30:CY30"/>
    <mergeCell ref="CZ30:DB30"/>
    <mergeCell ref="CW25:CY25"/>
    <mergeCell ref="CZ25:DB25"/>
    <mergeCell ref="DC30:DE30"/>
    <mergeCell ref="DF30:DH30"/>
    <mergeCell ref="DI30:DK30"/>
    <mergeCell ref="CR31:CV31"/>
    <mergeCell ref="CW31:CY31"/>
    <mergeCell ref="CZ31:DB31"/>
    <mergeCell ref="DC31:DE31"/>
    <mergeCell ref="DF31:DH31"/>
    <mergeCell ref="DI31:DK31"/>
    <mergeCell ref="CR30:CV30"/>
    <mergeCell ref="CW14:DK14"/>
    <mergeCell ref="CR28:CV28"/>
    <mergeCell ref="CW28:CY28"/>
    <mergeCell ref="CZ28:DB28"/>
    <mergeCell ref="DC28:DE28"/>
    <mergeCell ref="DF28:DH28"/>
    <mergeCell ref="DI28:DK28"/>
    <mergeCell ref="CR29:CV29"/>
    <mergeCell ref="CW29:CY29"/>
    <mergeCell ref="CZ29:DB29"/>
    <mergeCell ref="DC29:DE29"/>
    <mergeCell ref="DF29:DH29"/>
    <mergeCell ref="DI29:DK29"/>
    <mergeCell ref="DC24:DE24"/>
    <mergeCell ref="DF24:DH24"/>
    <mergeCell ref="DI24:DK24"/>
    <mergeCell ref="DI25:DK25"/>
    <mergeCell ref="CR24:CV24"/>
    <mergeCell ref="CZ24:DB24"/>
    <mergeCell ref="DC23:DE23"/>
    <mergeCell ref="DF23:DH23"/>
    <mergeCell ref="DF22:DH22"/>
    <mergeCell ref="CR22:CV22"/>
    <mergeCell ref="CW22:CY22"/>
    <mergeCell ref="R52:AD54"/>
    <mergeCell ref="H16:J17"/>
    <mergeCell ref="H18:I19"/>
    <mergeCell ref="J18:J19"/>
    <mergeCell ref="H20:I21"/>
    <mergeCell ref="J20:J21"/>
    <mergeCell ref="H22:I23"/>
    <mergeCell ref="J22:J23"/>
    <mergeCell ref="H24:I25"/>
    <mergeCell ref="J24:J25"/>
    <mergeCell ref="H26:I27"/>
    <mergeCell ref="J26:J27"/>
    <mergeCell ref="K16:O17"/>
    <mergeCell ref="P16:S17"/>
    <mergeCell ref="U16:W17"/>
    <mergeCell ref="X16:AA17"/>
    <mergeCell ref="X18:Z19"/>
    <mergeCell ref="X20:Z21"/>
    <mergeCell ref="X22:Z23"/>
    <mergeCell ref="X24:Z25"/>
    <mergeCell ref="V32:Z32"/>
    <mergeCell ref="K46:M46"/>
    <mergeCell ref="N46:P46"/>
    <mergeCell ref="B50:D50"/>
    <mergeCell ref="E50:G50"/>
    <mergeCell ref="H50:J50"/>
    <mergeCell ref="K50:M50"/>
    <mergeCell ref="N50:P50"/>
    <mergeCell ref="B51:D53"/>
    <mergeCell ref="E51:G53"/>
    <mergeCell ref="H51:J53"/>
    <mergeCell ref="K51:M53"/>
    <mergeCell ref="N51:P53"/>
    <mergeCell ref="B47:D47"/>
    <mergeCell ref="E47:G47"/>
    <mergeCell ref="H47:J47"/>
    <mergeCell ref="Z48:AC49"/>
    <mergeCell ref="B49:D49"/>
    <mergeCell ref="E49:G49"/>
    <mergeCell ref="H49:J49"/>
    <mergeCell ref="K49:M49"/>
    <mergeCell ref="N49:P49"/>
    <mergeCell ref="B48:D48"/>
    <mergeCell ref="E48:G48"/>
    <mergeCell ref="H48:J48"/>
    <mergeCell ref="K48:M48"/>
    <mergeCell ref="K47:M47"/>
    <mergeCell ref="N47:P47"/>
    <mergeCell ref="BX43:BZ43"/>
    <mergeCell ref="AJ45:AL46"/>
    <mergeCell ref="AM45:AO46"/>
    <mergeCell ref="N48:P48"/>
    <mergeCell ref="U48:Y49"/>
    <mergeCell ref="B38:D39"/>
    <mergeCell ref="E38:I39"/>
    <mergeCell ref="J38:P39"/>
    <mergeCell ref="Q38:T39"/>
    <mergeCell ref="U38:X39"/>
    <mergeCell ref="Y38:AB39"/>
    <mergeCell ref="AJ39:AL40"/>
    <mergeCell ref="AM39:AO40"/>
    <mergeCell ref="B40:D41"/>
    <mergeCell ref="E40:I41"/>
    <mergeCell ref="J40:P41"/>
    <mergeCell ref="Q40:T41"/>
    <mergeCell ref="U40:X41"/>
    <mergeCell ref="Y40:AB41"/>
    <mergeCell ref="AJ41:AL42"/>
    <mergeCell ref="AM41:AO42"/>
    <mergeCell ref="B46:D46"/>
    <mergeCell ref="E46:G46"/>
    <mergeCell ref="H46:J46"/>
    <mergeCell ref="B42:D43"/>
    <mergeCell ref="E42:P43"/>
    <mergeCell ref="Q42:T43"/>
    <mergeCell ref="U42:X43"/>
    <mergeCell ref="Y42:AB43"/>
    <mergeCell ref="AJ43:AL44"/>
    <mergeCell ref="BE37:BH38"/>
    <mergeCell ref="BM37:BP39"/>
    <mergeCell ref="BQ37:BW39"/>
    <mergeCell ref="AP39:AR40"/>
    <mergeCell ref="AS39:AV40"/>
    <mergeCell ref="AW39:BD40"/>
    <mergeCell ref="BE39:BH40"/>
    <mergeCell ref="AM43:AO44"/>
    <mergeCell ref="BM43:BP43"/>
    <mergeCell ref="BQ43:BW43"/>
    <mergeCell ref="BX37:BZ39"/>
    <mergeCell ref="CA37:CC39"/>
    <mergeCell ref="BM40:BP42"/>
    <mergeCell ref="BQ40:BW42"/>
    <mergeCell ref="BX40:BZ42"/>
    <mergeCell ref="CA40:CC42"/>
    <mergeCell ref="AP41:AR42"/>
    <mergeCell ref="AS41:AV42"/>
    <mergeCell ref="AW41:BD42"/>
    <mergeCell ref="BE41:BH42"/>
    <mergeCell ref="BM34:BP36"/>
    <mergeCell ref="AW35:BD36"/>
    <mergeCell ref="BE35:BH36"/>
    <mergeCell ref="B36:D37"/>
    <mergeCell ref="E36:I37"/>
    <mergeCell ref="BQ34:BW36"/>
    <mergeCell ref="BX34:BZ36"/>
    <mergeCell ref="CA34:CC36"/>
    <mergeCell ref="Q35:T35"/>
    <mergeCell ref="U35:X35"/>
    <mergeCell ref="Y35:AB35"/>
    <mergeCell ref="AJ35:AL36"/>
    <mergeCell ref="AM35:AO36"/>
    <mergeCell ref="AP35:AR36"/>
    <mergeCell ref="AS35:AV36"/>
    <mergeCell ref="J36:P37"/>
    <mergeCell ref="Q36:T37"/>
    <mergeCell ref="U36:X37"/>
    <mergeCell ref="Y36:AB37"/>
    <mergeCell ref="AJ37:AL38"/>
    <mergeCell ref="AM37:AO38"/>
    <mergeCell ref="AP37:AR38"/>
    <mergeCell ref="AS37:AV38"/>
    <mergeCell ref="AW37:BD38"/>
    <mergeCell ref="AS32:BC32"/>
    <mergeCell ref="BD32:BK32"/>
    <mergeCell ref="AJ33:AL34"/>
    <mergeCell ref="AM33:AO34"/>
    <mergeCell ref="AP33:AR34"/>
    <mergeCell ref="AS33:BH33"/>
    <mergeCell ref="B34:P35"/>
    <mergeCell ref="Q34:AB34"/>
    <mergeCell ref="AS34:AV34"/>
    <mergeCell ref="AW34:BD34"/>
    <mergeCell ref="BE34:BH34"/>
    <mergeCell ref="AP28:AS28"/>
    <mergeCell ref="AT28:AW28"/>
    <mergeCell ref="AX28:BA28"/>
    <mergeCell ref="B30:E31"/>
    <mergeCell ref="F30:G31"/>
    <mergeCell ref="H30:H31"/>
    <mergeCell ref="I30:N31"/>
    <mergeCell ref="O30:R31"/>
    <mergeCell ref="S30:S31"/>
    <mergeCell ref="CB26:CD26"/>
    <mergeCell ref="CE26:CG26"/>
    <mergeCell ref="CW26:CY26"/>
    <mergeCell ref="CZ26:DB26"/>
    <mergeCell ref="DC26:DE26"/>
    <mergeCell ref="DF26:DH26"/>
    <mergeCell ref="DI26:DK26"/>
    <mergeCell ref="BG27:BI27"/>
    <mergeCell ref="BJ27:BR27"/>
    <mergeCell ref="BS27:BU27"/>
    <mergeCell ref="BV27:BX27"/>
    <mergeCell ref="BY27:CA27"/>
    <mergeCell ref="CB27:CD27"/>
    <mergeCell ref="CE27:CG27"/>
    <mergeCell ref="CW27:CY27"/>
    <mergeCell ref="CZ27:DB27"/>
    <mergeCell ref="DC27:DE27"/>
    <mergeCell ref="DF27:DH27"/>
    <mergeCell ref="DI27:DK27"/>
    <mergeCell ref="CR26:CV26"/>
    <mergeCell ref="CR27:CV27"/>
    <mergeCell ref="AT26:AW27"/>
    <mergeCell ref="AX26:BA27"/>
    <mergeCell ref="BC26:BE26"/>
    <mergeCell ref="BC27:BE27"/>
    <mergeCell ref="BG26:BI26"/>
    <mergeCell ref="BJ26:BR26"/>
    <mergeCell ref="BS26:BU26"/>
    <mergeCell ref="BV26:BX26"/>
    <mergeCell ref="BY26:CA26"/>
    <mergeCell ref="G18:G19"/>
    <mergeCell ref="AK26:AK27"/>
    <mergeCell ref="AL26:AL27"/>
    <mergeCell ref="AM26:AM27"/>
    <mergeCell ref="AB26:AD27"/>
    <mergeCell ref="X26:Z27"/>
    <mergeCell ref="AN26:AN27"/>
    <mergeCell ref="AO26:AO27"/>
    <mergeCell ref="AP26:AS27"/>
    <mergeCell ref="AB20:AD21"/>
    <mergeCell ref="AJ18:AJ19"/>
    <mergeCell ref="AM18:AM19"/>
    <mergeCell ref="AN18:AN19"/>
    <mergeCell ref="AB18:AD19"/>
    <mergeCell ref="AO18:AO19"/>
    <mergeCell ref="AP18:AS19"/>
    <mergeCell ref="DF25:DH25"/>
    <mergeCell ref="B26:D27"/>
    <mergeCell ref="E26:F27"/>
    <mergeCell ref="G26:G27"/>
    <mergeCell ref="K24:N25"/>
    <mergeCell ref="K26:N27"/>
    <mergeCell ref="AJ26:AJ27"/>
    <mergeCell ref="U18:V19"/>
    <mergeCell ref="U20:V21"/>
    <mergeCell ref="U22:V23"/>
    <mergeCell ref="U24:V25"/>
    <mergeCell ref="U26:V27"/>
    <mergeCell ref="P18:S19"/>
    <mergeCell ref="P20:S21"/>
    <mergeCell ref="P22:S23"/>
    <mergeCell ref="P24:S25"/>
    <mergeCell ref="P26:S27"/>
    <mergeCell ref="K18:N19"/>
    <mergeCell ref="K20:N21"/>
    <mergeCell ref="K22:N23"/>
    <mergeCell ref="AB22:AD23"/>
    <mergeCell ref="G20:G21"/>
    <mergeCell ref="B18:D19"/>
    <mergeCell ref="E18:F19"/>
    <mergeCell ref="DC25:DE25"/>
    <mergeCell ref="CO23:CQ23"/>
    <mergeCell ref="CW24:CY24"/>
    <mergeCell ref="CZ21:DB21"/>
    <mergeCell ref="BS22:BU22"/>
    <mergeCell ref="BV22:BX22"/>
    <mergeCell ref="BY22:CA22"/>
    <mergeCell ref="CB22:CD22"/>
    <mergeCell ref="CE22:CG22"/>
    <mergeCell ref="DC21:DE21"/>
    <mergeCell ref="BG25:BI25"/>
    <mergeCell ref="BJ25:BR25"/>
    <mergeCell ref="BV24:BX24"/>
    <mergeCell ref="BY24:CA24"/>
    <mergeCell ref="CB24:CD24"/>
    <mergeCell ref="CE24:CG24"/>
    <mergeCell ref="CO24:CQ24"/>
    <mergeCell ref="BS23:BU23"/>
    <mergeCell ref="BV23:BX23"/>
    <mergeCell ref="BY23:CA23"/>
    <mergeCell ref="CB23:CD23"/>
    <mergeCell ref="CE23:CG23"/>
    <mergeCell ref="BS24:BU24"/>
    <mergeCell ref="BS25:BU25"/>
    <mergeCell ref="BV25:BX25"/>
    <mergeCell ref="BY25:CA25"/>
    <mergeCell ref="CB25:CD25"/>
    <mergeCell ref="CE25:CG25"/>
    <mergeCell ref="B20:D21"/>
    <mergeCell ref="E20:F21"/>
    <mergeCell ref="DI23:DK23"/>
    <mergeCell ref="CO22:CQ22"/>
    <mergeCell ref="B24:D25"/>
    <mergeCell ref="E24:F25"/>
    <mergeCell ref="G24:G25"/>
    <mergeCell ref="CR23:CV23"/>
    <mergeCell ref="CW23:CY23"/>
    <mergeCell ref="CZ23:DB23"/>
    <mergeCell ref="AB24:AD25"/>
    <mergeCell ref="AJ24:AJ25"/>
    <mergeCell ref="AK24:AK25"/>
    <mergeCell ref="AL24:AL25"/>
    <mergeCell ref="AM24:AM25"/>
    <mergeCell ref="AN24:AN25"/>
    <mergeCell ref="AO24:AO25"/>
    <mergeCell ref="AP24:AS25"/>
    <mergeCell ref="AT24:AW25"/>
    <mergeCell ref="AX24:BA25"/>
    <mergeCell ref="BC24:BE24"/>
    <mergeCell ref="BG24:BI24"/>
    <mergeCell ref="BJ24:BR24"/>
    <mergeCell ref="BC25:BE25"/>
    <mergeCell ref="AT22:AW23"/>
    <mergeCell ref="AX22:BA23"/>
    <mergeCell ref="BC22:BE22"/>
    <mergeCell ref="BG22:BI22"/>
    <mergeCell ref="BJ22:BR22"/>
    <mergeCell ref="CZ22:DB22"/>
    <mergeCell ref="DC22:DE22"/>
    <mergeCell ref="CR21:CV21"/>
    <mergeCell ref="CW21:CY21"/>
    <mergeCell ref="BC23:BE23"/>
    <mergeCell ref="BG23:BI23"/>
    <mergeCell ref="BJ23:BR23"/>
    <mergeCell ref="CI17:CJ24"/>
    <mergeCell ref="BY17:CA17"/>
    <mergeCell ref="DC19:DE19"/>
    <mergeCell ref="BS19:BU19"/>
    <mergeCell ref="BV19:BX19"/>
    <mergeCell ref="BY19:CA19"/>
    <mergeCell ref="CB19:CD19"/>
    <mergeCell ref="CE19:CG19"/>
    <mergeCell ref="BV18:BX18"/>
    <mergeCell ref="DC20:DE20"/>
    <mergeCell ref="BG19:BI19"/>
    <mergeCell ref="BJ19:BR19"/>
    <mergeCell ref="B22:D23"/>
    <mergeCell ref="E22:F23"/>
    <mergeCell ref="G22:G23"/>
    <mergeCell ref="AJ22:AJ23"/>
    <mergeCell ref="AK22:AK23"/>
    <mergeCell ref="AL22:AL23"/>
    <mergeCell ref="AM22:AM23"/>
    <mergeCell ref="AN22:AN23"/>
    <mergeCell ref="AO22:AO23"/>
    <mergeCell ref="DI22:DK22"/>
    <mergeCell ref="DF20:DH20"/>
    <mergeCell ref="BV20:BX20"/>
    <mergeCell ref="BY20:CA20"/>
    <mergeCell ref="CB20:CD20"/>
    <mergeCell ref="CE20:CG20"/>
    <mergeCell ref="CR20:CV20"/>
    <mergeCell ref="CW20:CY20"/>
    <mergeCell ref="AJ20:AJ21"/>
    <mergeCell ref="AL20:AL21"/>
    <mergeCell ref="AM20:AM21"/>
    <mergeCell ref="AN20:AN21"/>
    <mergeCell ref="AO20:AO21"/>
    <mergeCell ref="DI20:DK20"/>
    <mergeCell ref="BC21:BE21"/>
    <mergeCell ref="BG21:BI21"/>
    <mergeCell ref="BJ21:BR21"/>
    <mergeCell ref="BS21:BU21"/>
    <mergeCell ref="BV21:BX21"/>
    <mergeCell ref="BY21:CA21"/>
    <mergeCell ref="CB21:CD21"/>
    <mergeCell ref="CE21:CG21"/>
    <mergeCell ref="DI21:DK21"/>
    <mergeCell ref="AP22:AS23"/>
    <mergeCell ref="DF21:DH21"/>
    <mergeCell ref="AX18:BA19"/>
    <mergeCell ref="BC18:BE18"/>
    <mergeCell ref="BC19:BE19"/>
    <mergeCell ref="DF18:DH18"/>
    <mergeCell ref="CW19:CY19"/>
    <mergeCell ref="CZ19:DB19"/>
    <mergeCell ref="AK20:AK21"/>
    <mergeCell ref="AP20:AS21"/>
    <mergeCell ref="AT20:AW21"/>
    <mergeCell ref="AX20:BA21"/>
    <mergeCell ref="BC20:BE20"/>
    <mergeCell ref="BG20:BI20"/>
    <mergeCell ref="BJ20:BR20"/>
    <mergeCell ref="BS20:BU20"/>
    <mergeCell ref="CZ20:DB20"/>
    <mergeCell ref="CE18:CG18"/>
    <mergeCell ref="CR18:CV18"/>
    <mergeCell ref="DC18:DE18"/>
    <mergeCell ref="CZ18:DB18"/>
    <mergeCell ref="BS18:BU18"/>
    <mergeCell ref="BG18:BI18"/>
    <mergeCell ref="BJ18:BR18"/>
    <mergeCell ref="DF19:DH19"/>
    <mergeCell ref="DI19:DK19"/>
    <mergeCell ref="CR19:CV19"/>
    <mergeCell ref="DI18:DK18"/>
    <mergeCell ref="AT18:AW19"/>
    <mergeCell ref="AK18:AK19"/>
    <mergeCell ref="AL18:AL19"/>
    <mergeCell ref="CZ17:DB17"/>
    <mergeCell ref="DC16:DE16"/>
    <mergeCell ref="DF16:DH16"/>
    <mergeCell ref="DI16:DK16"/>
    <mergeCell ref="CW16:CY16"/>
    <mergeCell ref="CZ16:DB16"/>
    <mergeCell ref="DC17:DE17"/>
    <mergeCell ref="DF17:DH17"/>
    <mergeCell ref="DI17:DK17"/>
    <mergeCell ref="CB16:CD16"/>
    <mergeCell ref="CH16:CV16"/>
    <mergeCell ref="CE16:CG16"/>
    <mergeCell ref="CR17:CV17"/>
    <mergeCell ref="CB17:CD17"/>
    <mergeCell ref="CE17:CG17"/>
    <mergeCell ref="CK17:CL17"/>
    <mergeCell ref="CW17:CY17"/>
    <mergeCell ref="CW18:CY18"/>
    <mergeCell ref="CO17:CQ17"/>
    <mergeCell ref="BY18:CA18"/>
    <mergeCell ref="CB18:CD18"/>
    <mergeCell ref="U1:Z1"/>
    <mergeCell ref="AJ3:AN3"/>
    <mergeCell ref="D4:AD4"/>
    <mergeCell ref="AJ4:AN5"/>
    <mergeCell ref="B16:D17"/>
    <mergeCell ref="BB16:BR16"/>
    <mergeCell ref="BS16:BU16"/>
    <mergeCell ref="BV16:BX16"/>
    <mergeCell ref="BY16:CA16"/>
    <mergeCell ref="E16:G17"/>
    <mergeCell ref="AJ16:AL17"/>
    <mergeCell ref="AM16:AO17"/>
    <mergeCell ref="AB16:AE17"/>
    <mergeCell ref="BG17:BI17"/>
    <mergeCell ref="BJ17:BR17"/>
    <mergeCell ref="AP16:AS17"/>
    <mergeCell ref="AT16:AW17"/>
    <mergeCell ref="AX16:BA17"/>
    <mergeCell ref="AT9:AW9"/>
    <mergeCell ref="AP9:AS9"/>
    <mergeCell ref="AX9:BA9"/>
    <mergeCell ref="BC17:BE17"/>
    <mergeCell ref="BS17:BU17"/>
    <mergeCell ref="BV17:BX17"/>
    <mergeCell ref="AP13:AS13"/>
    <mergeCell ref="AT13:AW13"/>
    <mergeCell ref="AX13:BA13"/>
    <mergeCell ref="AP14:AS14"/>
    <mergeCell ref="AT14:AW14"/>
    <mergeCell ref="AX14:BA14"/>
    <mergeCell ref="AP10:AS10"/>
    <mergeCell ref="AT10:AW10"/>
    <mergeCell ref="AX10:BA10"/>
    <mergeCell ref="AP11:AS11"/>
    <mergeCell ref="AT11:AW11"/>
    <mergeCell ref="AX11:BA11"/>
    <mergeCell ref="AP12:AS12"/>
    <mergeCell ref="AT12:AW12"/>
    <mergeCell ref="AX12:BA12"/>
  </mergeCells>
  <phoneticPr fontId="30"/>
  <pageMargins left="0.51181102362204722" right="0.51181102362204722" top="0.74803149606299213" bottom="0.74803149606299213" header="0.31496062992125984" footer="0.31496062992125984"/>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W57"/>
  <sheetViews>
    <sheetView showGridLines="0" topLeftCell="BM5" zoomScale="85" zoomScaleNormal="85" workbookViewId="0">
      <selection activeCell="DF32" sqref="DF32:DH32"/>
    </sheetView>
  </sheetViews>
  <sheetFormatPr defaultColWidth="3.75" defaultRowHeight="18.75" customHeight="1" x14ac:dyDescent="0.15"/>
  <cols>
    <col min="1" max="1" width="3.5" style="2" customWidth="1"/>
    <col min="2" max="6" width="3.625" style="2" customWidth="1"/>
    <col min="7" max="7" width="4.25" style="2" customWidth="1"/>
    <col min="8" max="8" width="4.125" style="2" customWidth="1"/>
    <col min="9" max="23" width="3.625" style="2" customWidth="1"/>
    <col min="24" max="24" width="6.625" style="2" customWidth="1"/>
    <col min="25" max="25" width="3.625" style="2" customWidth="1"/>
    <col min="26" max="26" width="5.375" style="2" customWidth="1"/>
    <col min="27" max="30" width="3.625" style="2" customWidth="1"/>
    <col min="31" max="34" width="3.75" style="2" customWidth="1"/>
    <col min="35" max="115" width="4.375" style="2" customWidth="1"/>
    <col min="116" max="116" width="4.5" style="2" customWidth="1"/>
    <col min="117" max="16384" width="3.75" style="2"/>
  </cols>
  <sheetData>
    <row r="1" spans="2:115" ht="18.75" customHeight="1" x14ac:dyDescent="0.15">
      <c r="B1" s="1" t="str">
        <f>"令和"&amp;BD32&amp;"年度　みよし市国民健康保険税　試算表"</f>
        <v>令和3年度　みよし市国民健康保険税　試算表</v>
      </c>
      <c r="Q1" s="2" t="s">
        <v>103</v>
      </c>
      <c r="U1" s="248"/>
      <c r="V1" s="248"/>
      <c r="W1" s="248"/>
      <c r="X1" s="248"/>
      <c r="Y1" s="248"/>
      <c r="Z1" s="248"/>
    </row>
    <row r="2" spans="2:115" ht="9.75" customHeight="1" x14ac:dyDescent="0.15"/>
    <row r="3" spans="2:115" ht="18.75" customHeight="1" x14ac:dyDescent="0.15">
      <c r="B3" s="2" t="str">
        <f>"　このエクセルシートに必要事項を入力すると、令和"&amp;BD32&amp;"年度みよし市国民健康保険税額の試算ができます。"</f>
        <v>　このエクセルシートに必要事項を入力すると、令和3年度みよし市国民健康保険税額の試算ができます。</v>
      </c>
      <c r="AJ3" s="249" t="s">
        <v>78</v>
      </c>
      <c r="AK3" s="249"/>
      <c r="AL3" s="249"/>
      <c r="AM3" s="249"/>
      <c r="AN3" s="249"/>
    </row>
    <row r="4" spans="2:115" ht="18.75" customHeight="1" x14ac:dyDescent="0.15">
      <c r="B4" s="3"/>
      <c r="C4" s="4"/>
      <c r="D4" s="250" t="s">
        <v>79</v>
      </c>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J4" s="252"/>
      <c r="AK4" s="252"/>
      <c r="AL4" s="252"/>
      <c r="AM4" s="252"/>
      <c r="AN4" s="252"/>
    </row>
    <row r="5" spans="2:115" ht="9.75" customHeight="1" x14ac:dyDescent="0.15">
      <c r="AF5" s="5"/>
      <c r="AJ5" s="252"/>
      <c r="AK5" s="252"/>
      <c r="AL5" s="252"/>
      <c r="AM5" s="252"/>
      <c r="AN5" s="252"/>
    </row>
    <row r="6" spans="2:115" ht="18.75" customHeight="1" x14ac:dyDescent="0.15">
      <c r="B6" s="2" t="s">
        <v>0</v>
      </c>
    </row>
    <row r="7" spans="2:115" s="7" customFormat="1" ht="17.25" customHeight="1" x14ac:dyDescent="0.15">
      <c r="B7" s="58" t="s">
        <v>1</v>
      </c>
      <c r="C7" s="7" t="s">
        <v>2</v>
      </c>
    </row>
    <row r="8" spans="2:115" s="7" customFormat="1" ht="17.25" customHeight="1" x14ac:dyDescent="0.15">
      <c r="B8" s="58" t="s">
        <v>1</v>
      </c>
      <c r="C8" s="7" t="s">
        <v>3</v>
      </c>
    </row>
    <row r="9" spans="2:115" s="7" customFormat="1" ht="17.25" customHeight="1" x14ac:dyDescent="0.15">
      <c r="B9" s="58" t="s">
        <v>1</v>
      </c>
      <c r="C9" s="34" t="s">
        <v>4</v>
      </c>
      <c r="AP9" s="253" t="s">
        <v>100</v>
      </c>
      <c r="AQ9" s="254"/>
      <c r="AR9" s="254"/>
      <c r="AS9" s="255"/>
      <c r="AT9" s="253" t="s">
        <v>101</v>
      </c>
      <c r="AU9" s="254"/>
      <c r="AV9" s="254"/>
      <c r="AW9" s="255"/>
      <c r="AX9" s="264" t="s">
        <v>99</v>
      </c>
      <c r="AY9" s="265"/>
      <c r="AZ9" s="265"/>
      <c r="BA9" s="266"/>
    </row>
    <row r="10" spans="2:115" s="7" customFormat="1" ht="14.25" customHeight="1" x14ac:dyDescent="0.15">
      <c r="B10" s="58"/>
      <c r="C10" s="7" t="s">
        <v>65</v>
      </c>
      <c r="E10" s="41" t="str">
        <f>IF(AP28+AT28+AX28+AJ4&gt;CA34,"","※")</f>
        <v>※</v>
      </c>
      <c r="F10" s="7" t="s">
        <v>66</v>
      </c>
      <c r="AO10" s="7">
        <v>1</v>
      </c>
      <c r="AP10" s="256">
        <f>IF(AP18&gt;100000,100000,AP18)</f>
        <v>0</v>
      </c>
      <c r="AQ10" s="257"/>
      <c r="AR10" s="257"/>
      <c r="AS10" s="258"/>
      <c r="AT10" s="256">
        <f>IF(AT18&gt;100000,100000,AT18)</f>
        <v>0</v>
      </c>
      <c r="AU10" s="257"/>
      <c r="AV10" s="257"/>
      <c r="AW10" s="258"/>
      <c r="AX10" s="259">
        <f>IF(SUM(AP10:AW10)&lt;=100000,0,SUM(AP10:AW10)-100000)</f>
        <v>0</v>
      </c>
      <c r="AY10" s="260"/>
      <c r="AZ10" s="260"/>
      <c r="BA10" s="261"/>
    </row>
    <row r="11" spans="2:115" s="7" customFormat="1" ht="14.25" customHeight="1" x14ac:dyDescent="0.15">
      <c r="B11" s="58"/>
      <c r="E11" s="41" t="str">
        <f>IF(AND(E10="",AP28+AT28+AX28+AJ4&lt;=(330000+(F30*CA37))),"※","")</f>
        <v/>
      </c>
      <c r="F11" s="7" t="s">
        <v>81</v>
      </c>
      <c r="AE11" s="20"/>
      <c r="AO11" s="7">
        <v>2</v>
      </c>
      <c r="AP11" s="256">
        <f>IF(AP20&gt;100000,100000,AP20)</f>
        <v>0</v>
      </c>
      <c r="AQ11" s="257"/>
      <c r="AR11" s="257"/>
      <c r="AS11" s="258"/>
      <c r="AT11" s="256">
        <f>IF(AT20&gt;100000,100000,AT20)</f>
        <v>0</v>
      </c>
      <c r="AU11" s="257"/>
      <c r="AV11" s="257"/>
      <c r="AW11" s="258"/>
      <c r="AX11" s="259">
        <f>IF(SUM(AP11:AW11)&lt;=100000,0,SUM(AP11:AW11)-100000)</f>
        <v>0</v>
      </c>
      <c r="AY11" s="260"/>
      <c r="AZ11" s="260"/>
      <c r="BA11" s="261"/>
    </row>
    <row r="12" spans="2:115" s="7" customFormat="1" ht="15" customHeight="1" x14ac:dyDescent="0.15">
      <c r="B12" s="58"/>
      <c r="E12" s="41" t="str">
        <f>IF(AND(AP28+AT28+AX28+AJ4&gt;(330000+(F30*CA37)),AP28+AT28+AX28+AJ4&lt;=(330000+(F30*CA40))),"※","")</f>
        <v/>
      </c>
      <c r="F12" s="7" t="s">
        <v>82</v>
      </c>
      <c r="AE12" s="21"/>
      <c r="AO12" s="7">
        <v>3</v>
      </c>
      <c r="AP12" s="256">
        <f>IF(AP22&gt;100000,100000,AP22)</f>
        <v>0</v>
      </c>
      <c r="AQ12" s="257"/>
      <c r="AR12" s="257"/>
      <c r="AS12" s="258"/>
      <c r="AT12" s="256">
        <f>IF(AT22&gt;100000,100000,AT22)</f>
        <v>0</v>
      </c>
      <c r="AU12" s="257"/>
      <c r="AV12" s="257"/>
      <c r="AW12" s="258"/>
      <c r="AX12" s="259">
        <f>IF(SUM(AP12:AW12)&lt;=100000,0,SUM(AP12:AW12)-100000)</f>
        <v>0</v>
      </c>
      <c r="AY12" s="260"/>
      <c r="AZ12" s="260"/>
      <c r="BA12" s="261"/>
    </row>
    <row r="13" spans="2:115" s="7" customFormat="1" ht="15" customHeight="1" x14ac:dyDescent="0.15">
      <c r="B13" s="58"/>
      <c r="C13" s="7" t="s">
        <v>64</v>
      </c>
      <c r="AE13" s="21"/>
      <c r="AO13" s="7">
        <v>4</v>
      </c>
      <c r="AP13" s="256">
        <f>IF(AP24&gt;100000,100000,AP24)</f>
        <v>0</v>
      </c>
      <c r="AQ13" s="257"/>
      <c r="AR13" s="257"/>
      <c r="AS13" s="258"/>
      <c r="AT13" s="256">
        <f>IF(AT24&gt;100000,100000,AT24)</f>
        <v>0</v>
      </c>
      <c r="AU13" s="257"/>
      <c r="AV13" s="257"/>
      <c r="AW13" s="258"/>
      <c r="AX13" s="259">
        <f>IF(SUM(AP13:AW13)&lt;=100000,0,SUM(AP13:AW13)-100000)</f>
        <v>0</v>
      </c>
      <c r="AY13" s="260"/>
      <c r="AZ13" s="260"/>
      <c r="BA13" s="261"/>
    </row>
    <row r="14" spans="2:115" s="7" customFormat="1" ht="17.25" customHeight="1" x14ac:dyDescent="0.15">
      <c r="B14" s="58" t="s">
        <v>1</v>
      </c>
      <c r="C14" s="7" t="s">
        <v>5</v>
      </c>
      <c r="AO14" s="7">
        <v>5</v>
      </c>
      <c r="AP14" s="256">
        <f>IF(AP26&gt;100000,100000,AP26)</f>
        <v>0</v>
      </c>
      <c r="AQ14" s="257"/>
      <c r="AR14" s="257"/>
      <c r="AS14" s="258"/>
      <c r="AT14" s="256">
        <f>IF(AT26&gt;100000,100000,AT26)</f>
        <v>0</v>
      </c>
      <c r="AU14" s="257"/>
      <c r="AV14" s="257"/>
      <c r="AW14" s="258"/>
      <c r="AX14" s="259">
        <f>IF(SUM(AP14:AW14)&lt;=100000,0,SUM(AP14:AW14)-100000)</f>
        <v>0</v>
      </c>
      <c r="AY14" s="260"/>
      <c r="AZ14" s="260"/>
      <c r="BA14" s="261"/>
      <c r="CW14" s="704" t="s">
        <v>104</v>
      </c>
      <c r="CX14" s="704"/>
      <c r="CY14" s="704"/>
      <c r="CZ14" s="704"/>
      <c r="DA14" s="704"/>
      <c r="DB14" s="704"/>
      <c r="DC14" s="704"/>
      <c r="DD14" s="704"/>
      <c r="DE14" s="704"/>
      <c r="DF14" s="704"/>
      <c r="DG14" s="704"/>
      <c r="DH14" s="704"/>
      <c r="DI14" s="704"/>
      <c r="DJ14" s="704"/>
      <c r="DK14" s="704"/>
    </row>
    <row r="15" spans="2:115" ht="9.75" customHeight="1" thickBot="1" x14ac:dyDescent="0.2">
      <c r="BB15" s="8">
        <v>1</v>
      </c>
      <c r="BC15" s="8">
        <v>2</v>
      </c>
      <c r="BD15" s="8">
        <v>3</v>
      </c>
      <c r="BE15" s="8">
        <v>4</v>
      </c>
      <c r="BF15" s="8">
        <v>5</v>
      </c>
      <c r="BG15" s="8">
        <v>6</v>
      </c>
      <c r="BH15" s="8">
        <v>7</v>
      </c>
      <c r="BI15" s="8">
        <v>8</v>
      </c>
      <c r="BJ15" s="8">
        <v>9</v>
      </c>
      <c r="BK15" s="8">
        <v>10</v>
      </c>
      <c r="BL15" s="8">
        <v>11</v>
      </c>
      <c r="BM15" s="8">
        <v>12</v>
      </c>
      <c r="BN15" s="8">
        <v>13</v>
      </c>
      <c r="BO15" s="8">
        <v>14</v>
      </c>
      <c r="BP15" s="8">
        <v>15</v>
      </c>
      <c r="BQ15" s="8">
        <v>16</v>
      </c>
      <c r="BR15" s="8">
        <v>17</v>
      </c>
      <c r="BS15" s="8">
        <v>18</v>
      </c>
      <c r="BT15" s="8">
        <v>19</v>
      </c>
      <c r="BU15" s="8">
        <v>20</v>
      </c>
      <c r="BV15" s="8">
        <v>21</v>
      </c>
      <c r="BW15" s="8">
        <v>22</v>
      </c>
      <c r="BX15" s="8">
        <v>23</v>
      </c>
      <c r="BY15" s="8">
        <v>24</v>
      </c>
      <c r="BZ15" s="8">
        <v>25</v>
      </c>
      <c r="CA15" s="8">
        <v>26</v>
      </c>
      <c r="CB15" s="8">
        <v>27</v>
      </c>
      <c r="CC15" s="8">
        <v>28</v>
      </c>
      <c r="CD15" s="8">
        <v>29</v>
      </c>
      <c r="CE15" s="8">
        <v>30</v>
      </c>
      <c r="CF15" s="8">
        <v>31</v>
      </c>
      <c r="CG15" s="8">
        <v>32</v>
      </c>
      <c r="CH15" s="8">
        <v>1</v>
      </c>
      <c r="CI15" s="8">
        <v>2</v>
      </c>
      <c r="CJ15" s="8">
        <v>3</v>
      </c>
      <c r="CK15" s="8">
        <v>4</v>
      </c>
      <c r="CL15" s="8">
        <v>5</v>
      </c>
      <c r="CM15" s="8">
        <v>6</v>
      </c>
      <c r="CN15" s="8">
        <v>7</v>
      </c>
      <c r="CO15" s="8">
        <v>8</v>
      </c>
      <c r="CP15" s="8">
        <v>9</v>
      </c>
      <c r="CQ15" s="8">
        <v>10</v>
      </c>
      <c r="CR15" s="8">
        <v>11</v>
      </c>
      <c r="CS15" s="8">
        <v>12</v>
      </c>
      <c r="CT15" s="8">
        <v>13</v>
      </c>
      <c r="CU15" s="8">
        <v>14</v>
      </c>
      <c r="CV15" s="8">
        <v>15</v>
      </c>
      <c r="CW15" s="8">
        <v>16</v>
      </c>
      <c r="CX15" s="8">
        <v>17</v>
      </c>
      <c r="CY15" s="8">
        <v>18</v>
      </c>
      <c r="CZ15" s="8">
        <v>19</v>
      </c>
      <c r="DA15" s="8">
        <v>20</v>
      </c>
      <c r="DB15" s="8">
        <v>21</v>
      </c>
      <c r="DC15" s="8">
        <v>22</v>
      </c>
      <c r="DD15" s="8">
        <v>23</v>
      </c>
      <c r="DE15" s="8">
        <v>24</v>
      </c>
      <c r="DF15" s="8">
        <v>25</v>
      </c>
      <c r="DG15" s="8">
        <v>26</v>
      </c>
      <c r="DH15" s="8">
        <v>27</v>
      </c>
      <c r="DI15" s="8">
        <v>28</v>
      </c>
      <c r="DJ15" s="8">
        <v>29</v>
      </c>
      <c r="DK15" s="8">
        <v>30</v>
      </c>
    </row>
    <row r="16" spans="2:115" ht="20.25" customHeight="1" x14ac:dyDescent="0.15">
      <c r="B16" s="103" t="s">
        <v>6</v>
      </c>
      <c r="C16" s="104"/>
      <c r="D16" s="172"/>
      <c r="E16" s="171" t="str">
        <f>"令和"&amp;BD32&amp;"年1月1日
時点の年齢"</f>
        <v>令和3年1月1日
時点の年齢</v>
      </c>
      <c r="F16" s="104"/>
      <c r="G16" s="172"/>
      <c r="H16" s="171" t="s">
        <v>80</v>
      </c>
      <c r="I16" s="104"/>
      <c r="J16" s="172"/>
      <c r="K16" s="171" t="s">
        <v>7</v>
      </c>
      <c r="L16" s="104"/>
      <c r="M16" s="104"/>
      <c r="N16" s="104"/>
      <c r="O16" s="172"/>
      <c r="P16" s="171" t="s">
        <v>8</v>
      </c>
      <c r="Q16" s="104"/>
      <c r="R16" s="104"/>
      <c r="S16" s="104"/>
      <c r="T16" s="48"/>
      <c r="U16" s="171" t="s">
        <v>62</v>
      </c>
      <c r="V16" s="104"/>
      <c r="W16" s="172"/>
      <c r="X16" s="171" t="s">
        <v>9</v>
      </c>
      <c r="Y16" s="104"/>
      <c r="Z16" s="104"/>
      <c r="AA16" s="105"/>
      <c r="AB16" s="329" t="s">
        <v>83</v>
      </c>
      <c r="AC16" s="330"/>
      <c r="AD16" s="330"/>
      <c r="AE16" s="331"/>
      <c r="AJ16" s="216" t="s">
        <v>10</v>
      </c>
      <c r="AK16" s="217"/>
      <c r="AL16" s="217"/>
      <c r="AM16" s="335" t="s">
        <v>11</v>
      </c>
      <c r="AN16" s="182"/>
      <c r="AO16" s="336"/>
      <c r="AP16" s="294" t="s">
        <v>12</v>
      </c>
      <c r="AQ16" s="295"/>
      <c r="AR16" s="295"/>
      <c r="AS16" s="296"/>
      <c r="AT16" s="294" t="s">
        <v>13</v>
      </c>
      <c r="AU16" s="295"/>
      <c r="AV16" s="295"/>
      <c r="AW16" s="296"/>
      <c r="AX16" s="294" t="s">
        <v>63</v>
      </c>
      <c r="AY16" s="295"/>
      <c r="AZ16" s="295"/>
      <c r="BA16" s="296"/>
      <c r="BB16" s="577" t="s">
        <v>14</v>
      </c>
      <c r="BC16" s="242"/>
      <c r="BD16" s="242"/>
      <c r="BE16" s="242"/>
      <c r="BF16" s="242"/>
      <c r="BG16" s="242"/>
      <c r="BH16" s="242"/>
      <c r="BI16" s="242"/>
      <c r="BJ16" s="242"/>
      <c r="BK16" s="242"/>
      <c r="BL16" s="242"/>
      <c r="BM16" s="242"/>
      <c r="BN16" s="242"/>
      <c r="BO16" s="242"/>
      <c r="BP16" s="242"/>
      <c r="BQ16" s="242"/>
      <c r="BR16" s="293"/>
      <c r="BS16" s="217" t="s">
        <v>15</v>
      </c>
      <c r="BT16" s="217"/>
      <c r="BU16" s="217"/>
      <c r="BV16" s="217" t="s">
        <v>16</v>
      </c>
      <c r="BW16" s="217"/>
      <c r="BX16" s="217"/>
      <c r="BY16" s="217" t="s">
        <v>17</v>
      </c>
      <c r="BZ16" s="217"/>
      <c r="CA16" s="217"/>
      <c r="CB16" s="217" t="s">
        <v>18</v>
      </c>
      <c r="CC16" s="217"/>
      <c r="CD16" s="217"/>
      <c r="CE16" s="217" t="s">
        <v>19</v>
      </c>
      <c r="CF16" s="217"/>
      <c r="CG16" s="217"/>
      <c r="CH16" s="578" t="s">
        <v>20</v>
      </c>
      <c r="CI16" s="579"/>
      <c r="CJ16" s="579"/>
      <c r="CK16" s="579"/>
      <c r="CL16" s="579"/>
      <c r="CM16" s="579"/>
      <c r="CN16" s="579"/>
      <c r="CO16" s="579"/>
      <c r="CP16" s="579"/>
      <c r="CQ16" s="579"/>
      <c r="CR16" s="579"/>
      <c r="CS16" s="579"/>
      <c r="CT16" s="579"/>
      <c r="CU16" s="579"/>
      <c r="CV16" s="580"/>
      <c r="CW16" s="217" t="s">
        <v>15</v>
      </c>
      <c r="CX16" s="217"/>
      <c r="CY16" s="217"/>
      <c r="CZ16" s="217" t="s">
        <v>16</v>
      </c>
      <c r="DA16" s="217"/>
      <c r="DB16" s="217"/>
      <c r="DC16" s="217" t="s">
        <v>17</v>
      </c>
      <c r="DD16" s="217"/>
      <c r="DE16" s="217"/>
      <c r="DF16" s="217" t="s">
        <v>18</v>
      </c>
      <c r="DG16" s="217"/>
      <c r="DH16" s="217"/>
      <c r="DI16" s="217" t="s">
        <v>19</v>
      </c>
      <c r="DJ16" s="217"/>
      <c r="DK16" s="288"/>
    </row>
    <row r="17" spans="2:127" ht="20.25" customHeight="1" thickBot="1" x14ac:dyDescent="0.2">
      <c r="B17" s="109"/>
      <c r="C17" s="110"/>
      <c r="D17" s="276"/>
      <c r="E17" s="275"/>
      <c r="F17" s="110"/>
      <c r="G17" s="276"/>
      <c r="H17" s="275"/>
      <c r="I17" s="110"/>
      <c r="J17" s="276"/>
      <c r="K17" s="275"/>
      <c r="L17" s="110"/>
      <c r="M17" s="110"/>
      <c r="N17" s="110"/>
      <c r="O17" s="276"/>
      <c r="P17" s="275"/>
      <c r="Q17" s="110"/>
      <c r="R17" s="110"/>
      <c r="S17" s="110"/>
      <c r="T17" s="49"/>
      <c r="U17" s="275"/>
      <c r="V17" s="110"/>
      <c r="W17" s="276"/>
      <c r="X17" s="275"/>
      <c r="Y17" s="110"/>
      <c r="Z17" s="110"/>
      <c r="AA17" s="111"/>
      <c r="AB17" s="332"/>
      <c r="AC17" s="333"/>
      <c r="AD17" s="333"/>
      <c r="AE17" s="334"/>
      <c r="AJ17" s="218"/>
      <c r="AK17" s="219"/>
      <c r="AL17" s="219"/>
      <c r="AM17" s="337"/>
      <c r="AN17" s="338"/>
      <c r="AO17" s="339"/>
      <c r="AP17" s="297"/>
      <c r="AQ17" s="298"/>
      <c r="AR17" s="298"/>
      <c r="AS17" s="299"/>
      <c r="AT17" s="297"/>
      <c r="AU17" s="298"/>
      <c r="AV17" s="298"/>
      <c r="AW17" s="299"/>
      <c r="AX17" s="297"/>
      <c r="AY17" s="298"/>
      <c r="AZ17" s="298"/>
      <c r="BA17" s="299"/>
      <c r="BB17" s="10">
        <v>1</v>
      </c>
      <c r="BC17" s="279">
        <v>0</v>
      </c>
      <c r="BD17" s="279"/>
      <c r="BE17" s="279"/>
      <c r="BF17" s="60" t="s">
        <v>21</v>
      </c>
      <c r="BG17" s="279">
        <v>550999</v>
      </c>
      <c r="BH17" s="279"/>
      <c r="BI17" s="279"/>
      <c r="BJ17" s="219">
        <v>0</v>
      </c>
      <c r="BK17" s="219"/>
      <c r="BL17" s="219"/>
      <c r="BM17" s="219"/>
      <c r="BN17" s="219"/>
      <c r="BO17" s="219"/>
      <c r="BP17" s="219"/>
      <c r="BQ17" s="219"/>
      <c r="BR17" s="239"/>
      <c r="BS17" s="280">
        <v>0</v>
      </c>
      <c r="BT17" s="280"/>
      <c r="BU17" s="280"/>
      <c r="BV17" s="280">
        <v>0</v>
      </c>
      <c r="BW17" s="280"/>
      <c r="BX17" s="280"/>
      <c r="BY17" s="280">
        <v>0</v>
      </c>
      <c r="BZ17" s="280"/>
      <c r="CA17" s="280"/>
      <c r="CB17" s="280">
        <v>0</v>
      </c>
      <c r="CC17" s="280"/>
      <c r="CD17" s="280"/>
      <c r="CE17" s="280">
        <v>0</v>
      </c>
      <c r="CF17" s="280"/>
      <c r="CG17" s="280"/>
      <c r="CH17" s="60">
        <v>1</v>
      </c>
      <c r="CI17" s="589">
        <v>65</v>
      </c>
      <c r="CJ17" s="590"/>
      <c r="CK17" s="581"/>
      <c r="CL17" s="582"/>
      <c r="CM17" s="54"/>
      <c r="CN17" s="63" t="s">
        <v>98</v>
      </c>
      <c r="CO17" s="348">
        <v>900000</v>
      </c>
      <c r="CP17" s="348"/>
      <c r="CQ17" s="576"/>
      <c r="CR17" s="351" t="s">
        <v>95</v>
      </c>
      <c r="CS17" s="351"/>
      <c r="CT17" s="351"/>
      <c r="CU17" s="351"/>
      <c r="CV17" s="351"/>
      <c r="CW17" s="340">
        <v>0</v>
      </c>
      <c r="CX17" s="341"/>
      <c r="CY17" s="342"/>
      <c r="CZ17" s="340">
        <v>0</v>
      </c>
      <c r="DA17" s="341"/>
      <c r="DB17" s="342"/>
      <c r="DC17" s="340">
        <v>0</v>
      </c>
      <c r="DD17" s="341"/>
      <c r="DE17" s="342"/>
      <c r="DF17" s="340">
        <v>0</v>
      </c>
      <c r="DG17" s="341"/>
      <c r="DH17" s="342"/>
      <c r="DI17" s="340">
        <v>0</v>
      </c>
      <c r="DJ17" s="341"/>
      <c r="DK17" s="343"/>
    </row>
    <row r="18" spans="2:127" ht="18" customHeight="1" x14ac:dyDescent="0.15">
      <c r="B18" s="304" t="s">
        <v>22</v>
      </c>
      <c r="C18" s="305"/>
      <c r="D18" s="306"/>
      <c r="E18" s="310">
        <f>試算入力用!$E$18</f>
        <v>0</v>
      </c>
      <c r="F18" s="311"/>
      <c r="G18" s="314" t="s">
        <v>23</v>
      </c>
      <c r="H18" s="310">
        <f>試算入力用!$H$18</f>
        <v>0</v>
      </c>
      <c r="I18" s="311"/>
      <c r="J18" s="314" t="s">
        <v>23</v>
      </c>
      <c r="K18" s="316">
        <f>試算入力用!$K$18</f>
        <v>0</v>
      </c>
      <c r="L18" s="317"/>
      <c r="M18" s="317"/>
      <c r="N18" s="317"/>
      <c r="O18" s="47" t="s">
        <v>24</v>
      </c>
      <c r="P18" s="316">
        <f>試算入力用!$P$18</f>
        <v>0</v>
      </c>
      <c r="Q18" s="317"/>
      <c r="R18" s="317"/>
      <c r="S18" s="317"/>
      <c r="T18" s="47" t="s">
        <v>24</v>
      </c>
      <c r="U18" s="600">
        <f>試算入力用!$U$18</f>
        <v>0</v>
      </c>
      <c r="V18" s="601"/>
      <c r="W18" s="47" t="s">
        <v>24</v>
      </c>
      <c r="X18" s="705">
        <f>IF(E18="","",SUM(AP18:BA19)-$AX$10)</f>
        <v>0</v>
      </c>
      <c r="Y18" s="615"/>
      <c r="Z18" s="615"/>
      <c r="AA18" s="35" t="s">
        <v>24</v>
      </c>
      <c r="AB18" s="614">
        <f>IF(X18="","",IF(X18&lt;=430000,0,X18-430000))</f>
        <v>0</v>
      </c>
      <c r="AC18" s="615"/>
      <c r="AD18" s="615"/>
      <c r="AE18" s="35" t="s">
        <v>24</v>
      </c>
      <c r="AJ18" s="378">
        <f>IF(K18="","",IF(K18&lt;BC18,1,IF(K18&lt;BC19,2,IF(K18&lt;BC20,3,IF(K18&lt;BC21,4,IF(K18&lt;BC22,5,IF(K18&lt;BC23,6,"")))))))</f>
        <v>1</v>
      </c>
      <c r="AK18" s="379" t="str">
        <f>IF(K18="","",IF(K18&lt;$BC$23,"",IF(K18&lt;$BC$24,7,IF(K18&lt;$BC$25,8,IF(K18&lt;$BC$26,9,IF(K18&lt;$BC$27,10,IF(K18&gt;=$BC$27,11,"")))))))</f>
        <v/>
      </c>
      <c r="AL18" s="361">
        <f>IF(AJ18="",AK18,AJ18)</f>
        <v>1</v>
      </c>
      <c r="AM18" s="380" t="str">
        <f>IF(P18="","",IF(E18&lt;65,"",IF(E18&gt;=65,IF(P18&lt;=$CO$17,1,IF(P18&lt;=$CO$18,2,IF(P18&lt;=$CO$19,3,IF(P18&lt;=$CO$20,4,IF(P18&lt;=$CO$21,5,IF(P18&lt;=$CO$22,6,IF(P18&lt;=$CO$23,7,IF(P18&gt;=$CK$24,8,"")))))))))))</f>
        <v/>
      </c>
      <c r="AN18" s="359">
        <f>IF($P$18="","",IF($E$18-1&gt;=65,"",IF($E$18-1&lt;65,IF($P$18&lt;=$CO$25,9,IF($P$18&lt;=$CO$26,10,IF($P$18&lt;=$CO$27,11,IF($P$18&lt;=$CO$28,12,IF($P$18&lt;=$CO$29,13,IF($P$18&lt;=$CO$30,14,IF($P$18&lt;=$CO$31,15,IF($P$18&gt;=$CK$32,16,"")))))))))))</f>
        <v>9</v>
      </c>
      <c r="AO18" s="361">
        <f>IF(AM18="",AN18,AM18)</f>
        <v>9</v>
      </c>
      <c r="AP18" s="280">
        <f>IF(AL18="",0,VLOOKUP(AL18,BB17:CG27,18,0))</f>
        <v>0</v>
      </c>
      <c r="AQ18" s="280"/>
      <c r="AR18" s="280"/>
      <c r="AS18" s="280"/>
      <c r="AT18" s="362">
        <f>IF(AO18="",0,VLOOKUP(AO18,CH17:DK32,16,0))</f>
        <v>0</v>
      </c>
      <c r="AU18" s="363"/>
      <c r="AV18" s="363"/>
      <c r="AW18" s="364"/>
      <c r="AX18" s="368">
        <f>U18</f>
        <v>0</v>
      </c>
      <c r="AY18" s="369"/>
      <c r="AZ18" s="369"/>
      <c r="BA18" s="423"/>
      <c r="BB18" s="10">
        <v>2</v>
      </c>
      <c r="BC18" s="279">
        <v>551000</v>
      </c>
      <c r="BD18" s="279"/>
      <c r="BE18" s="279"/>
      <c r="BF18" s="60" t="s">
        <v>21</v>
      </c>
      <c r="BG18" s="279">
        <v>1618999</v>
      </c>
      <c r="BH18" s="279"/>
      <c r="BI18" s="279"/>
      <c r="BJ18" s="219" t="s">
        <v>84</v>
      </c>
      <c r="BK18" s="219"/>
      <c r="BL18" s="219"/>
      <c r="BM18" s="219"/>
      <c r="BN18" s="219"/>
      <c r="BO18" s="219"/>
      <c r="BP18" s="219"/>
      <c r="BQ18" s="219"/>
      <c r="BR18" s="239"/>
      <c r="BS18" s="280">
        <f>K18-550000</f>
        <v>-550000</v>
      </c>
      <c r="BT18" s="280"/>
      <c r="BU18" s="280"/>
      <c r="BV18" s="280">
        <f>K20-550000</f>
        <v>-550000</v>
      </c>
      <c r="BW18" s="280"/>
      <c r="BX18" s="280"/>
      <c r="BY18" s="280">
        <f>K22-550000</f>
        <v>-550000</v>
      </c>
      <c r="BZ18" s="280"/>
      <c r="CA18" s="280"/>
      <c r="CB18" s="280">
        <f>K24-550000</f>
        <v>-550000</v>
      </c>
      <c r="CC18" s="280"/>
      <c r="CD18" s="280"/>
      <c r="CE18" s="280">
        <f>K26-550000</f>
        <v>-550000</v>
      </c>
      <c r="CF18" s="280"/>
      <c r="CG18" s="280"/>
      <c r="CH18" s="60">
        <v>2</v>
      </c>
      <c r="CI18" s="284"/>
      <c r="CJ18" s="285"/>
      <c r="CK18" s="409">
        <f>CO17+1</f>
        <v>900001</v>
      </c>
      <c r="CL18" s="347"/>
      <c r="CM18" s="347"/>
      <c r="CN18" s="57" t="s">
        <v>98</v>
      </c>
      <c r="CO18" s="348">
        <v>1000000</v>
      </c>
      <c r="CP18" s="348"/>
      <c r="CQ18" s="576"/>
      <c r="CR18" s="351" t="s">
        <v>95</v>
      </c>
      <c r="CS18" s="351"/>
      <c r="CT18" s="351"/>
      <c r="CU18" s="351"/>
      <c r="CV18" s="351"/>
      <c r="CW18" s="340">
        <v>0</v>
      </c>
      <c r="CX18" s="341"/>
      <c r="CY18" s="342"/>
      <c r="CZ18" s="340">
        <v>0</v>
      </c>
      <c r="DA18" s="341"/>
      <c r="DB18" s="342"/>
      <c r="DC18" s="340">
        <v>0</v>
      </c>
      <c r="DD18" s="341"/>
      <c r="DE18" s="342"/>
      <c r="DF18" s="340">
        <v>0</v>
      </c>
      <c r="DG18" s="341"/>
      <c r="DH18" s="342"/>
      <c r="DI18" s="340">
        <v>0</v>
      </c>
      <c r="DJ18" s="341"/>
      <c r="DK18" s="343"/>
    </row>
    <row r="19" spans="2:127" ht="18" customHeight="1" x14ac:dyDescent="0.15">
      <c r="B19" s="307"/>
      <c r="C19" s="308"/>
      <c r="D19" s="309"/>
      <c r="E19" s="312"/>
      <c r="F19" s="313"/>
      <c r="G19" s="315"/>
      <c r="H19" s="312"/>
      <c r="I19" s="313"/>
      <c r="J19" s="315"/>
      <c r="K19" s="355"/>
      <c r="L19" s="356"/>
      <c r="M19" s="356"/>
      <c r="N19" s="356"/>
      <c r="O19" s="46"/>
      <c r="P19" s="355"/>
      <c r="Q19" s="356"/>
      <c r="R19" s="356"/>
      <c r="S19" s="356"/>
      <c r="T19" s="46"/>
      <c r="U19" s="602"/>
      <c r="V19" s="603"/>
      <c r="W19" s="46"/>
      <c r="X19" s="706"/>
      <c r="Y19" s="611"/>
      <c r="Z19" s="611"/>
      <c r="AA19" s="36"/>
      <c r="AB19" s="610"/>
      <c r="AC19" s="611"/>
      <c r="AD19" s="611"/>
      <c r="AE19" s="36"/>
      <c r="AJ19" s="378"/>
      <c r="AK19" s="379"/>
      <c r="AL19" s="361"/>
      <c r="AM19" s="381"/>
      <c r="AN19" s="360"/>
      <c r="AO19" s="361"/>
      <c r="AP19" s="280"/>
      <c r="AQ19" s="280"/>
      <c r="AR19" s="280"/>
      <c r="AS19" s="280"/>
      <c r="AT19" s="365"/>
      <c r="AU19" s="366"/>
      <c r="AV19" s="366"/>
      <c r="AW19" s="367"/>
      <c r="AX19" s="370"/>
      <c r="AY19" s="371"/>
      <c r="AZ19" s="371"/>
      <c r="BA19" s="401"/>
      <c r="BB19" s="10">
        <v>3</v>
      </c>
      <c r="BC19" s="279">
        <v>1619000</v>
      </c>
      <c r="BD19" s="279"/>
      <c r="BE19" s="279"/>
      <c r="BF19" s="60" t="s">
        <v>21</v>
      </c>
      <c r="BG19" s="279">
        <v>1619999</v>
      </c>
      <c r="BH19" s="279"/>
      <c r="BI19" s="279"/>
      <c r="BJ19" s="279">
        <v>1069000</v>
      </c>
      <c r="BK19" s="279"/>
      <c r="BL19" s="279"/>
      <c r="BM19" s="279"/>
      <c r="BN19" s="279"/>
      <c r="BO19" s="279"/>
      <c r="BP19" s="279"/>
      <c r="BQ19" s="279"/>
      <c r="BR19" s="344"/>
      <c r="BS19" s="280">
        <f>BJ19</f>
        <v>1069000</v>
      </c>
      <c r="BT19" s="280"/>
      <c r="BU19" s="280"/>
      <c r="BV19" s="280">
        <f>BJ19</f>
        <v>1069000</v>
      </c>
      <c r="BW19" s="280"/>
      <c r="BX19" s="280"/>
      <c r="BY19" s="280">
        <f>BJ19</f>
        <v>1069000</v>
      </c>
      <c r="BZ19" s="280"/>
      <c r="CA19" s="280"/>
      <c r="CB19" s="280">
        <f>BJ19</f>
        <v>1069000</v>
      </c>
      <c r="CC19" s="280"/>
      <c r="CD19" s="280"/>
      <c r="CE19" s="280">
        <f>BJ19</f>
        <v>1069000</v>
      </c>
      <c r="CF19" s="280"/>
      <c r="CG19" s="280"/>
      <c r="CH19" s="60">
        <v>3</v>
      </c>
      <c r="CI19" s="284"/>
      <c r="CJ19" s="285"/>
      <c r="CK19" s="409">
        <f t="shared" ref="CK19:CK24" si="0">CO18+1</f>
        <v>1000001</v>
      </c>
      <c r="CL19" s="347"/>
      <c r="CM19" s="347"/>
      <c r="CN19" s="57" t="s">
        <v>98</v>
      </c>
      <c r="CO19" s="348">
        <v>1100000</v>
      </c>
      <c r="CP19" s="348"/>
      <c r="CQ19" s="576"/>
      <c r="CR19" s="583" t="s">
        <v>105</v>
      </c>
      <c r="CS19" s="584"/>
      <c r="CT19" s="584"/>
      <c r="CU19" s="584"/>
      <c r="CV19" s="585"/>
      <c r="CW19" s="340">
        <f>IF($P$18-1000000&gt;0,$P$18-1000000,0)</f>
        <v>0</v>
      </c>
      <c r="CX19" s="341"/>
      <c r="CY19" s="342"/>
      <c r="CZ19" s="340">
        <f>IF($P$20-1000000&gt;0,$P$20-1000000,0)</f>
        <v>0</v>
      </c>
      <c r="DA19" s="341"/>
      <c r="DB19" s="342"/>
      <c r="DC19" s="340">
        <f>IF($P$22-1000000&gt;0,$P$22-1000000,0)</f>
        <v>0</v>
      </c>
      <c r="DD19" s="341"/>
      <c r="DE19" s="342"/>
      <c r="DF19" s="340">
        <f>IF($P$24-1000000&gt;0,$P$24-1000000,0)</f>
        <v>0</v>
      </c>
      <c r="DG19" s="341"/>
      <c r="DH19" s="342"/>
      <c r="DI19" s="340">
        <f>IF($P$26-1000000&gt;0,$P$26-1000000,0)</f>
        <v>0</v>
      </c>
      <c r="DJ19" s="341"/>
      <c r="DK19" s="343"/>
      <c r="DW19" s="13"/>
    </row>
    <row r="20" spans="2:127" ht="18" customHeight="1" x14ac:dyDescent="0.15">
      <c r="B20" s="386" t="s">
        <v>25</v>
      </c>
      <c r="C20" s="387"/>
      <c r="D20" s="388"/>
      <c r="E20" s="353">
        <f>試算入力用!$E$20</f>
        <v>0</v>
      </c>
      <c r="F20" s="354"/>
      <c r="G20" s="352" t="s">
        <v>23</v>
      </c>
      <c r="H20" s="353">
        <f>試算入力用!$H$20</f>
        <v>0</v>
      </c>
      <c r="I20" s="354"/>
      <c r="J20" s="352" t="s">
        <v>23</v>
      </c>
      <c r="K20" s="357">
        <f>試算入力用!$K$20</f>
        <v>0</v>
      </c>
      <c r="L20" s="358"/>
      <c r="M20" s="358"/>
      <c r="N20" s="358"/>
      <c r="O20" s="43" t="s">
        <v>24</v>
      </c>
      <c r="P20" s="357">
        <f>試算入力用!$P$20</f>
        <v>0</v>
      </c>
      <c r="Q20" s="358"/>
      <c r="R20" s="358"/>
      <c r="S20" s="358"/>
      <c r="T20" s="43" t="s">
        <v>24</v>
      </c>
      <c r="U20" s="604">
        <f>試算入力用!$U$20</f>
        <v>0</v>
      </c>
      <c r="V20" s="605"/>
      <c r="W20" s="45" t="s">
        <v>24</v>
      </c>
      <c r="X20" s="707">
        <f>IF(E20="","",SUM(AP20:BA21)-$AX$11)</f>
        <v>0</v>
      </c>
      <c r="Y20" s="595"/>
      <c r="Z20" s="595"/>
      <c r="AA20" s="37" t="s">
        <v>24</v>
      </c>
      <c r="AB20" s="594">
        <f>IF(X20="","",IF(X20&lt;=430000,0,X20-430000))</f>
        <v>0</v>
      </c>
      <c r="AC20" s="595"/>
      <c r="AD20" s="595"/>
      <c r="AE20" s="42" t="s">
        <v>24</v>
      </c>
      <c r="AJ20" s="378">
        <f>IF(K20="","",IF(K20&lt;BC18,1,IF(K20&lt;BC19,2,IF(K20&lt;BC20,3,IF(K20&lt;BC21,4,IF(K20&lt;BC22,5,IF(K20&lt;BC23,6,"")))))))</f>
        <v>1</v>
      </c>
      <c r="AK20" s="379" t="str">
        <f>IF(K20="","",IF(K20&lt;$BC$23,"",IF(K20&lt;$BC$24,7,IF(K20&lt;$BC$25,8,IF(K20&lt;$BC$26,9,IF(K20&lt;$BC$27,10,IF(K20&gt;=$BC$27,11,"")))))))</f>
        <v/>
      </c>
      <c r="AL20" s="361">
        <f>IF(AJ20="",AK20,AJ20)</f>
        <v>1</v>
      </c>
      <c r="AM20" s="380" t="str">
        <f t="shared" ref="AM20" si="1">IF(P20="","",IF(E20&lt;65,"",IF(E20&gt;=65,IF(P20&lt;=$CO$17,1,IF(P20&lt;=$CO$18,2,IF(P20&lt;=$CO$19,3,IF(P20&lt;=$CO$20,4,IF(P20&lt;=$CO$21,5,IF(P20&lt;=$CO$22,6,IF(P20&lt;=$CO$23,7,IF(P20&gt;=$CK$24,8,"")))))))))))</f>
        <v/>
      </c>
      <c r="AN20" s="359">
        <f>IF($P$20="","",IF($E$20-1&gt;=65,"",IF($E$20-1&lt;65,IF($P$20&lt;=$CO$25,9,IF($P$20&lt;=$CO$26,10,IF($P$20&lt;=$CO$27,11,IF($P$20&lt;=$CO$28,12,IF($P$20&lt;=$CO$29,13,IF($P$20&lt;=$CO$30,14,IF($P$20&lt;=$CO$31,15,IF($P$20&gt;=$CK$32,16,"")))))))))))</f>
        <v>9</v>
      </c>
      <c r="AO20" s="361">
        <f>IF(AM20="",AN20,AM20)</f>
        <v>9</v>
      </c>
      <c r="AP20" s="280">
        <f>IF(AL20="",0,VLOOKUP(AL20,BB17:CG27,21,0))</f>
        <v>0</v>
      </c>
      <c r="AQ20" s="280"/>
      <c r="AR20" s="280"/>
      <c r="AS20" s="280"/>
      <c r="AT20" s="362">
        <f>IF(AO20="",0,VLOOKUP(AO20,CH17:DK32,19,0))</f>
        <v>0</v>
      </c>
      <c r="AU20" s="363"/>
      <c r="AV20" s="363"/>
      <c r="AW20" s="364"/>
      <c r="AX20" s="368">
        <f>U20</f>
        <v>0</v>
      </c>
      <c r="AY20" s="369"/>
      <c r="AZ20" s="369"/>
      <c r="BA20" s="423"/>
      <c r="BB20" s="10">
        <v>4</v>
      </c>
      <c r="BC20" s="279">
        <v>1620000</v>
      </c>
      <c r="BD20" s="279"/>
      <c r="BE20" s="279"/>
      <c r="BF20" s="60" t="s">
        <v>21</v>
      </c>
      <c r="BG20" s="279">
        <v>1621999</v>
      </c>
      <c r="BH20" s="279"/>
      <c r="BI20" s="279"/>
      <c r="BJ20" s="279">
        <v>1070000</v>
      </c>
      <c r="BK20" s="279"/>
      <c r="BL20" s="279"/>
      <c r="BM20" s="279"/>
      <c r="BN20" s="279"/>
      <c r="BO20" s="279"/>
      <c r="BP20" s="279"/>
      <c r="BQ20" s="279"/>
      <c r="BR20" s="344"/>
      <c r="BS20" s="280">
        <f>BJ20</f>
        <v>1070000</v>
      </c>
      <c r="BT20" s="280"/>
      <c r="BU20" s="280"/>
      <c r="BV20" s="280">
        <f>BJ20</f>
        <v>1070000</v>
      </c>
      <c r="BW20" s="280"/>
      <c r="BX20" s="280"/>
      <c r="BY20" s="280">
        <f>BJ20</f>
        <v>1070000</v>
      </c>
      <c r="BZ20" s="280"/>
      <c r="CA20" s="280"/>
      <c r="CB20" s="280">
        <f>BJ20</f>
        <v>1070000</v>
      </c>
      <c r="CC20" s="280"/>
      <c r="CD20" s="280"/>
      <c r="CE20" s="280">
        <f>BJ20</f>
        <v>1070000</v>
      </c>
      <c r="CF20" s="280"/>
      <c r="CG20" s="280"/>
      <c r="CH20" s="60">
        <v>4</v>
      </c>
      <c r="CI20" s="284"/>
      <c r="CJ20" s="285"/>
      <c r="CK20" s="409">
        <f t="shared" si="0"/>
        <v>1100001</v>
      </c>
      <c r="CL20" s="347"/>
      <c r="CM20" s="347"/>
      <c r="CN20" s="57" t="s">
        <v>98</v>
      </c>
      <c r="CO20" s="348">
        <v>3300000</v>
      </c>
      <c r="CP20" s="348"/>
      <c r="CQ20" s="576"/>
      <c r="CR20" s="583" t="s">
        <v>105</v>
      </c>
      <c r="CS20" s="584"/>
      <c r="CT20" s="584"/>
      <c r="CU20" s="584"/>
      <c r="CV20" s="585"/>
      <c r="CW20" s="340">
        <f>IF($P$18-1000000&gt;0,$P$18-1000000,0)</f>
        <v>0</v>
      </c>
      <c r="CX20" s="341"/>
      <c r="CY20" s="342"/>
      <c r="CZ20" s="340">
        <f>IF($P$20-1000000&gt;0,$P$20-1000000,0)</f>
        <v>0</v>
      </c>
      <c r="DA20" s="341"/>
      <c r="DB20" s="342"/>
      <c r="DC20" s="340">
        <f>IF($P$22-1000000&gt;0,$P$22-1000000,0)</f>
        <v>0</v>
      </c>
      <c r="DD20" s="341"/>
      <c r="DE20" s="342"/>
      <c r="DF20" s="340">
        <f>IF($P$24-1000000&gt;0,$P$24-1000000,0)</f>
        <v>0</v>
      </c>
      <c r="DG20" s="341"/>
      <c r="DH20" s="342"/>
      <c r="DI20" s="340">
        <f>IF($P$26-1000000&gt;0,$P$26-1000000,0)</f>
        <v>0</v>
      </c>
      <c r="DJ20" s="341"/>
      <c r="DK20" s="343"/>
    </row>
    <row r="21" spans="2:127" ht="18" customHeight="1" x14ac:dyDescent="0.15">
      <c r="B21" s="307"/>
      <c r="C21" s="308"/>
      <c r="D21" s="309"/>
      <c r="E21" s="312"/>
      <c r="F21" s="313"/>
      <c r="G21" s="315"/>
      <c r="H21" s="312"/>
      <c r="I21" s="313"/>
      <c r="J21" s="315"/>
      <c r="K21" s="318"/>
      <c r="L21" s="319"/>
      <c r="M21" s="319"/>
      <c r="N21" s="319"/>
      <c r="O21" s="46"/>
      <c r="P21" s="355"/>
      <c r="Q21" s="356"/>
      <c r="R21" s="356"/>
      <c r="S21" s="356"/>
      <c r="T21" s="46"/>
      <c r="U21" s="604"/>
      <c r="V21" s="605"/>
      <c r="W21" s="45"/>
      <c r="X21" s="706"/>
      <c r="Y21" s="611"/>
      <c r="Z21" s="611"/>
      <c r="AA21" s="36"/>
      <c r="AB21" s="596"/>
      <c r="AC21" s="597"/>
      <c r="AD21" s="597"/>
      <c r="AE21" s="42"/>
      <c r="AJ21" s="378"/>
      <c r="AK21" s="379"/>
      <c r="AL21" s="361"/>
      <c r="AM21" s="381"/>
      <c r="AN21" s="360"/>
      <c r="AO21" s="361"/>
      <c r="AP21" s="280"/>
      <c r="AQ21" s="280"/>
      <c r="AR21" s="280"/>
      <c r="AS21" s="280"/>
      <c r="AT21" s="365"/>
      <c r="AU21" s="366"/>
      <c r="AV21" s="366"/>
      <c r="AW21" s="367"/>
      <c r="AX21" s="370"/>
      <c r="AY21" s="371"/>
      <c r="AZ21" s="371"/>
      <c r="BA21" s="401"/>
      <c r="BB21" s="10">
        <v>5</v>
      </c>
      <c r="BC21" s="279">
        <v>1622000</v>
      </c>
      <c r="BD21" s="279"/>
      <c r="BE21" s="279"/>
      <c r="BF21" s="60" t="s">
        <v>21</v>
      </c>
      <c r="BG21" s="279">
        <v>1623999</v>
      </c>
      <c r="BH21" s="279"/>
      <c r="BI21" s="279"/>
      <c r="BJ21" s="279">
        <v>1072000</v>
      </c>
      <c r="BK21" s="279"/>
      <c r="BL21" s="279"/>
      <c r="BM21" s="279"/>
      <c r="BN21" s="279"/>
      <c r="BO21" s="279"/>
      <c r="BP21" s="279"/>
      <c r="BQ21" s="279"/>
      <c r="BR21" s="344"/>
      <c r="BS21" s="280">
        <f>BJ21</f>
        <v>1072000</v>
      </c>
      <c r="BT21" s="280"/>
      <c r="BU21" s="280"/>
      <c r="BV21" s="280">
        <f>BJ21</f>
        <v>1072000</v>
      </c>
      <c r="BW21" s="280"/>
      <c r="BX21" s="280"/>
      <c r="BY21" s="280">
        <f>BJ21</f>
        <v>1072000</v>
      </c>
      <c r="BZ21" s="280"/>
      <c r="CA21" s="280"/>
      <c r="CB21" s="280">
        <f>BJ21</f>
        <v>1072000</v>
      </c>
      <c r="CC21" s="280"/>
      <c r="CD21" s="280"/>
      <c r="CE21" s="280">
        <f>BJ21</f>
        <v>1072000</v>
      </c>
      <c r="CF21" s="280"/>
      <c r="CG21" s="280"/>
      <c r="CH21" s="60">
        <v>5</v>
      </c>
      <c r="CI21" s="284"/>
      <c r="CJ21" s="285"/>
      <c r="CK21" s="409">
        <f t="shared" si="0"/>
        <v>3300001</v>
      </c>
      <c r="CL21" s="347"/>
      <c r="CM21" s="347"/>
      <c r="CN21" s="57" t="s">
        <v>98</v>
      </c>
      <c r="CO21" s="348">
        <v>4100000</v>
      </c>
      <c r="CP21" s="348"/>
      <c r="CQ21" s="576"/>
      <c r="CR21" s="586" t="s">
        <v>106</v>
      </c>
      <c r="CS21" s="587"/>
      <c r="CT21" s="587"/>
      <c r="CU21" s="587"/>
      <c r="CV21" s="588"/>
      <c r="CW21" s="340">
        <f>$P$18*0.75-175000</f>
        <v>-175000</v>
      </c>
      <c r="CX21" s="341"/>
      <c r="CY21" s="342"/>
      <c r="CZ21" s="340">
        <f>$P$20*0.75-175000</f>
        <v>-175000</v>
      </c>
      <c r="DA21" s="341"/>
      <c r="DB21" s="342"/>
      <c r="DC21" s="340">
        <f>$P$22*0.75-175000</f>
        <v>-175000</v>
      </c>
      <c r="DD21" s="341"/>
      <c r="DE21" s="342"/>
      <c r="DF21" s="340">
        <f>$P$24*0.75-175000</f>
        <v>-175000</v>
      </c>
      <c r="DG21" s="341"/>
      <c r="DH21" s="342"/>
      <c r="DI21" s="340">
        <f>$P$26*0.75-175000</f>
        <v>-175000</v>
      </c>
      <c r="DJ21" s="341"/>
      <c r="DK21" s="343"/>
    </row>
    <row r="22" spans="2:127" ht="18" customHeight="1" x14ac:dyDescent="0.15">
      <c r="B22" s="386" t="s">
        <v>26</v>
      </c>
      <c r="C22" s="387"/>
      <c r="D22" s="388"/>
      <c r="E22" s="353">
        <f>試算入力用!$E$22</f>
        <v>0</v>
      </c>
      <c r="F22" s="354"/>
      <c r="G22" s="352" t="s">
        <v>23</v>
      </c>
      <c r="H22" s="353">
        <f>試算入力用!$H$22</f>
        <v>0</v>
      </c>
      <c r="I22" s="354"/>
      <c r="J22" s="352" t="s">
        <v>23</v>
      </c>
      <c r="K22" s="357">
        <f>試算入力用!$K$22</f>
        <v>0</v>
      </c>
      <c r="L22" s="358"/>
      <c r="M22" s="358"/>
      <c r="N22" s="358"/>
      <c r="O22" s="43" t="s">
        <v>24</v>
      </c>
      <c r="P22" s="357">
        <f>試算入力用!$P$22</f>
        <v>0</v>
      </c>
      <c r="Q22" s="358"/>
      <c r="R22" s="358"/>
      <c r="S22" s="358"/>
      <c r="T22" s="43" t="s">
        <v>24</v>
      </c>
      <c r="U22" s="606">
        <f>試算入力用!$U$22</f>
        <v>0</v>
      </c>
      <c r="V22" s="607"/>
      <c r="W22" s="43" t="s">
        <v>24</v>
      </c>
      <c r="X22" s="707">
        <f>IF(E22="","",SUM(AP22:BA23)-$AX$12)</f>
        <v>0</v>
      </c>
      <c r="Y22" s="595"/>
      <c r="Z22" s="595"/>
      <c r="AA22" s="37" t="s">
        <v>24</v>
      </c>
      <c r="AB22" s="594">
        <f>IF(X22="","",IF(X22&lt;=430000,0,X22-430000))</f>
        <v>0</v>
      </c>
      <c r="AC22" s="595"/>
      <c r="AD22" s="595"/>
      <c r="AE22" s="37" t="s">
        <v>24</v>
      </c>
      <c r="AJ22" s="378">
        <f>IF(K22="","",IF(K22&lt;BC18,1,IF(K22&lt;BC19,2,IF(K22&lt;BC20,3,IF(K22&lt;BC21,4,IF(K22&lt;BC22,5,IF(K22&lt;BC23,6,"")))))))</f>
        <v>1</v>
      </c>
      <c r="AK22" s="379" t="str">
        <f>IF(K22="","",IF(K22&lt;$BC$23,"",IF(K22&lt;$BC$24,7,IF(K22&lt;$BC$25,8,IF(K22&lt;$BC$26,9,IF(K22&lt;$BC$27,10,IF(K22&gt;=$BC$27,11,"")))))))</f>
        <v/>
      </c>
      <c r="AL22" s="361">
        <f>IF(AJ22="",AK22,AJ22)</f>
        <v>1</v>
      </c>
      <c r="AM22" s="380" t="str">
        <f t="shared" ref="AM22" si="2">IF(P22="","",IF(E22&lt;65,"",IF(E22&gt;=65,IF(P22&lt;=$CO$17,1,IF(P22&lt;=$CO$18,2,IF(P22&lt;=$CO$19,3,IF(P22&lt;=$CO$20,4,IF(P22&lt;=$CO$21,5,IF(P22&lt;=$CO$22,6,IF(P22&lt;=$CO$23,7,IF(P22&gt;=$CK$24,8,"")))))))))))</f>
        <v/>
      </c>
      <c r="AN22" s="359">
        <f>IF($P$22="","",IF($E$22-1&gt;=65,"",IF($E$22-1&lt;65,IF($P$22&lt;=$CO$25,9,IF($P$22&lt;=$CO$26,10,IF($P$22&lt;=$CO$27,11,IF($P$22&lt;=$CO$28,12,IF($P$22&lt;=$CO$29,13,IF($P$22&lt;=$CO$30,14,IF($P$22&lt;=$CO$31,15,IF($P$22&gt;=$CK$32,16,"")))))))))))</f>
        <v>9</v>
      </c>
      <c r="AO22" s="361">
        <f>IF(AM22="",AN22,AM22)</f>
        <v>9</v>
      </c>
      <c r="AP22" s="280">
        <f>IF(AL22="",0,VLOOKUP(AL22,BB17:CG27,24,0))</f>
        <v>0</v>
      </c>
      <c r="AQ22" s="280"/>
      <c r="AR22" s="280"/>
      <c r="AS22" s="280"/>
      <c r="AT22" s="362">
        <f>IF(AO22="",0,VLOOKUP(AO22,CH17:DK32,22,0))</f>
        <v>0</v>
      </c>
      <c r="AU22" s="363"/>
      <c r="AV22" s="363"/>
      <c r="AW22" s="364"/>
      <c r="AX22" s="368">
        <f>U22</f>
        <v>0</v>
      </c>
      <c r="AY22" s="369"/>
      <c r="AZ22" s="369"/>
      <c r="BA22" s="423"/>
      <c r="BB22" s="10">
        <v>6</v>
      </c>
      <c r="BC22" s="279">
        <v>1624000</v>
      </c>
      <c r="BD22" s="279"/>
      <c r="BE22" s="279"/>
      <c r="BF22" s="60" t="s">
        <v>21</v>
      </c>
      <c r="BG22" s="279">
        <v>1627999</v>
      </c>
      <c r="BH22" s="279"/>
      <c r="BI22" s="279"/>
      <c r="BJ22" s="279">
        <v>1074000</v>
      </c>
      <c r="BK22" s="279"/>
      <c r="BL22" s="279"/>
      <c r="BM22" s="279"/>
      <c r="BN22" s="279"/>
      <c r="BO22" s="279"/>
      <c r="BP22" s="279"/>
      <c r="BQ22" s="279"/>
      <c r="BR22" s="344"/>
      <c r="BS22" s="280">
        <f>BJ22</f>
        <v>1074000</v>
      </c>
      <c r="BT22" s="280"/>
      <c r="BU22" s="280"/>
      <c r="BV22" s="280">
        <f>BJ22</f>
        <v>1074000</v>
      </c>
      <c r="BW22" s="280"/>
      <c r="BX22" s="280"/>
      <c r="BY22" s="280">
        <f>BJ22</f>
        <v>1074000</v>
      </c>
      <c r="BZ22" s="280"/>
      <c r="CA22" s="280"/>
      <c r="CB22" s="280">
        <f>BJ22</f>
        <v>1074000</v>
      </c>
      <c r="CC22" s="280"/>
      <c r="CD22" s="280"/>
      <c r="CE22" s="280">
        <f>BJ22</f>
        <v>1074000</v>
      </c>
      <c r="CF22" s="280"/>
      <c r="CG22" s="280"/>
      <c r="CH22" s="60">
        <v>6</v>
      </c>
      <c r="CI22" s="284"/>
      <c r="CJ22" s="285"/>
      <c r="CK22" s="409">
        <f t="shared" si="0"/>
        <v>4100001</v>
      </c>
      <c r="CL22" s="347"/>
      <c r="CM22" s="347"/>
      <c r="CN22" s="57" t="s">
        <v>98</v>
      </c>
      <c r="CO22" s="348">
        <v>7700000</v>
      </c>
      <c r="CP22" s="348"/>
      <c r="CQ22" s="576"/>
      <c r="CR22" s="586" t="s">
        <v>107</v>
      </c>
      <c r="CS22" s="587"/>
      <c r="CT22" s="587"/>
      <c r="CU22" s="587"/>
      <c r="CV22" s="588"/>
      <c r="CW22" s="340">
        <f>$P$18*0.85-585000</f>
        <v>-585000</v>
      </c>
      <c r="CX22" s="341"/>
      <c r="CY22" s="342"/>
      <c r="CZ22" s="340">
        <f>$P$20*0.85-585000</f>
        <v>-585000</v>
      </c>
      <c r="DA22" s="341"/>
      <c r="DB22" s="342"/>
      <c r="DC22" s="340">
        <f>$P$22*0.85-585000</f>
        <v>-585000</v>
      </c>
      <c r="DD22" s="341"/>
      <c r="DE22" s="342"/>
      <c r="DF22" s="340">
        <f>$P$24*0.85-585000</f>
        <v>-585000</v>
      </c>
      <c r="DG22" s="341"/>
      <c r="DH22" s="342"/>
      <c r="DI22" s="340">
        <f>$P$26*0.85-585000</f>
        <v>-585000</v>
      </c>
      <c r="DJ22" s="341"/>
      <c r="DK22" s="343"/>
    </row>
    <row r="23" spans="2:127" ht="18" customHeight="1" x14ac:dyDescent="0.15">
      <c r="B23" s="307"/>
      <c r="C23" s="308"/>
      <c r="D23" s="309"/>
      <c r="E23" s="312"/>
      <c r="F23" s="313"/>
      <c r="G23" s="315"/>
      <c r="H23" s="312"/>
      <c r="I23" s="313"/>
      <c r="J23" s="315"/>
      <c r="K23" s="318"/>
      <c r="L23" s="319"/>
      <c r="M23" s="319"/>
      <c r="N23" s="319"/>
      <c r="O23" s="46"/>
      <c r="P23" s="318"/>
      <c r="Q23" s="319"/>
      <c r="R23" s="319"/>
      <c r="S23" s="319"/>
      <c r="T23" s="46"/>
      <c r="U23" s="602"/>
      <c r="V23" s="603"/>
      <c r="W23" s="46"/>
      <c r="X23" s="706"/>
      <c r="Y23" s="611"/>
      <c r="Z23" s="611"/>
      <c r="AA23" s="36"/>
      <c r="AB23" s="596"/>
      <c r="AC23" s="597"/>
      <c r="AD23" s="597"/>
      <c r="AE23" s="42"/>
      <c r="AJ23" s="378"/>
      <c r="AK23" s="379"/>
      <c r="AL23" s="361"/>
      <c r="AM23" s="381"/>
      <c r="AN23" s="360"/>
      <c r="AO23" s="361"/>
      <c r="AP23" s="280"/>
      <c r="AQ23" s="280"/>
      <c r="AR23" s="280"/>
      <c r="AS23" s="280"/>
      <c r="AT23" s="365"/>
      <c r="AU23" s="366"/>
      <c r="AV23" s="366"/>
      <c r="AW23" s="367"/>
      <c r="AX23" s="370"/>
      <c r="AY23" s="371"/>
      <c r="AZ23" s="371"/>
      <c r="BA23" s="401"/>
      <c r="BB23" s="10">
        <v>7</v>
      </c>
      <c r="BC23" s="279">
        <v>1628000</v>
      </c>
      <c r="BD23" s="279"/>
      <c r="BE23" s="279"/>
      <c r="BF23" s="60" t="s">
        <v>21</v>
      </c>
      <c r="BG23" s="279">
        <v>1799999</v>
      </c>
      <c r="BH23" s="279"/>
      <c r="BI23" s="279"/>
      <c r="BJ23" s="219" t="s">
        <v>85</v>
      </c>
      <c r="BK23" s="219"/>
      <c r="BL23" s="219"/>
      <c r="BM23" s="219"/>
      <c r="BN23" s="219"/>
      <c r="BO23" s="219"/>
      <c r="BP23" s="219"/>
      <c r="BQ23" s="219"/>
      <c r="BR23" s="239"/>
      <c r="BS23" s="280">
        <f>(ROUNDDOWN(K18/4,-3)*2.4)+100000</f>
        <v>100000</v>
      </c>
      <c r="BT23" s="280"/>
      <c r="BU23" s="280"/>
      <c r="BV23" s="280">
        <f>(ROUNDDOWN(K20/4,-3)*2.4)+100000</f>
        <v>100000</v>
      </c>
      <c r="BW23" s="280"/>
      <c r="BX23" s="280"/>
      <c r="BY23" s="280">
        <f>(ROUNDDOWN(K22/4,-3)*2.4)+100000</f>
        <v>100000</v>
      </c>
      <c r="BZ23" s="280"/>
      <c r="CA23" s="280"/>
      <c r="CB23" s="280">
        <f>(ROUNDDOWN(K24/4,-3)*2.4)+100000</f>
        <v>100000</v>
      </c>
      <c r="CC23" s="280"/>
      <c r="CD23" s="280"/>
      <c r="CE23" s="280">
        <f>(ROUNDDOWN(K26/4,-3)*2.4)+100000</f>
        <v>100000</v>
      </c>
      <c r="CF23" s="280"/>
      <c r="CG23" s="280"/>
      <c r="CH23" s="60">
        <v>7</v>
      </c>
      <c r="CI23" s="284"/>
      <c r="CJ23" s="285"/>
      <c r="CK23" s="409">
        <f t="shared" si="0"/>
        <v>7700001</v>
      </c>
      <c r="CL23" s="347"/>
      <c r="CM23" s="347"/>
      <c r="CN23" s="57" t="s">
        <v>98</v>
      </c>
      <c r="CO23" s="348">
        <v>10000000</v>
      </c>
      <c r="CP23" s="348"/>
      <c r="CQ23" s="576"/>
      <c r="CR23" s="591" t="s">
        <v>108</v>
      </c>
      <c r="CS23" s="592"/>
      <c r="CT23" s="592"/>
      <c r="CU23" s="592"/>
      <c r="CV23" s="593"/>
      <c r="CW23" s="340">
        <f>$P$18*0.95-1355000</f>
        <v>-1355000</v>
      </c>
      <c r="CX23" s="341"/>
      <c r="CY23" s="342"/>
      <c r="CZ23" s="340">
        <f>$P$20*0.95-1355000</f>
        <v>-1355000</v>
      </c>
      <c r="DA23" s="341"/>
      <c r="DB23" s="342"/>
      <c r="DC23" s="340">
        <f>$P$22*0.95-1355000</f>
        <v>-1355000</v>
      </c>
      <c r="DD23" s="341"/>
      <c r="DE23" s="342"/>
      <c r="DF23" s="340">
        <f>$P$24*0.95-1355000</f>
        <v>-1355000</v>
      </c>
      <c r="DG23" s="341"/>
      <c r="DH23" s="342"/>
      <c r="DI23" s="340">
        <f>$P$26*0.95-1355000</f>
        <v>-1355000</v>
      </c>
      <c r="DJ23" s="341"/>
      <c r="DK23" s="343"/>
    </row>
    <row r="24" spans="2:127" ht="18" customHeight="1" thickBot="1" x14ac:dyDescent="0.2">
      <c r="B24" s="386" t="s">
        <v>27</v>
      </c>
      <c r="C24" s="387"/>
      <c r="D24" s="388"/>
      <c r="E24" s="353">
        <f>試算入力用!$E$24</f>
        <v>0</v>
      </c>
      <c r="F24" s="354"/>
      <c r="G24" s="352" t="s">
        <v>23</v>
      </c>
      <c r="H24" s="353">
        <f>試算入力用!$H$24</f>
        <v>0</v>
      </c>
      <c r="I24" s="354"/>
      <c r="J24" s="352" t="s">
        <v>23</v>
      </c>
      <c r="K24" s="357">
        <f>試算入力用!$K$24</f>
        <v>0</v>
      </c>
      <c r="L24" s="358"/>
      <c r="M24" s="358"/>
      <c r="N24" s="358"/>
      <c r="O24" s="43" t="s">
        <v>24</v>
      </c>
      <c r="P24" s="357">
        <f>試算入力用!$P$24</f>
        <v>0</v>
      </c>
      <c r="Q24" s="358"/>
      <c r="R24" s="358"/>
      <c r="S24" s="358"/>
      <c r="T24" s="43" t="s">
        <v>24</v>
      </c>
      <c r="U24" s="606">
        <f>試算入力用!$U$24</f>
        <v>0</v>
      </c>
      <c r="V24" s="607"/>
      <c r="W24" s="45" t="s">
        <v>24</v>
      </c>
      <c r="X24" s="707">
        <f>IF(E24="","",SUM(AP24:BA25)-$AX$13)</f>
        <v>0</v>
      </c>
      <c r="Y24" s="595"/>
      <c r="Z24" s="595"/>
      <c r="AA24" s="37" t="s">
        <v>24</v>
      </c>
      <c r="AB24" s="594">
        <f>IF(X24="","",IF(X24&lt;=430000,0,X24-430000))</f>
        <v>0</v>
      </c>
      <c r="AC24" s="595"/>
      <c r="AD24" s="595"/>
      <c r="AE24" s="37" t="s">
        <v>24</v>
      </c>
      <c r="AJ24" s="378">
        <f>IF(K24="","",IF(K24&lt;BC18,1,IF(K24&lt;BC19,2,IF(K24&lt;BC20,3,IF(K24&lt;BC21,4,IF(K24&lt;BC22,5,IF(K24&lt;BC23,6,"")))))))</f>
        <v>1</v>
      </c>
      <c r="AK24" s="379" t="str">
        <f>IF(K24="","",IF(K24&lt;$BC$23,"",IF(K24&lt;$BC$24,7,IF(K24&lt;$BC$25,8,IF(K24&lt;$BC$26,9,IF(K24&lt;$BC$27,10,IF(K24&gt;=$BC$27,11,"")))))))</f>
        <v/>
      </c>
      <c r="AL24" s="361">
        <f>IF(AJ24="",AK24,AJ24)</f>
        <v>1</v>
      </c>
      <c r="AM24" s="380" t="str">
        <f t="shared" ref="AM24" si="3">IF(P24="","",IF(E24&lt;65,"",IF(E24&gt;=65,IF(P24&lt;=$CO$17,1,IF(P24&lt;=$CO$18,2,IF(P24&lt;=$CO$19,3,IF(P24&lt;=$CO$20,4,IF(P24&lt;=$CO$21,5,IF(P24&lt;=$CO$22,6,IF(P24&lt;=$CO$23,7,IF(P24&gt;=$CK$24,8,"")))))))))))</f>
        <v/>
      </c>
      <c r="AN24" s="359">
        <f>IF($P$24="","",IF($E$24-1&gt;=65,"",IF($E$24-1&lt;65,IF($P$24&lt;=$CO$25,9,IF($P$24&lt;=$CO$26,10,IF($P$24&lt;=$CO$27,11,IF($P$24&lt;=$CO$28,12,IF($P$24&lt;=$CO$29,13,IF($P$24&lt;=$CO$30,14,IF($P$24&lt;=$CO$31,15,IF($P$24&gt;=$CK$32,16,"")))))))))))</f>
        <v>9</v>
      </c>
      <c r="AO24" s="361">
        <f>IF(AM24="",AN24,AM24)</f>
        <v>9</v>
      </c>
      <c r="AP24" s="280">
        <f>IF(AL24="",0,VLOOKUP(AL24,BB17:CG27,27,0))</f>
        <v>0</v>
      </c>
      <c r="AQ24" s="280"/>
      <c r="AR24" s="280"/>
      <c r="AS24" s="280"/>
      <c r="AT24" s="362">
        <f>IF(AO24="",0,VLOOKUP(AO24,CH17:DK32,25,0))</f>
        <v>0</v>
      </c>
      <c r="AU24" s="363"/>
      <c r="AV24" s="363"/>
      <c r="AW24" s="364"/>
      <c r="AX24" s="368">
        <f>U24</f>
        <v>0</v>
      </c>
      <c r="AY24" s="369"/>
      <c r="AZ24" s="369"/>
      <c r="BA24" s="423"/>
      <c r="BB24" s="10">
        <v>8</v>
      </c>
      <c r="BC24" s="279">
        <v>1800000</v>
      </c>
      <c r="BD24" s="279"/>
      <c r="BE24" s="279"/>
      <c r="BF24" s="60" t="s">
        <v>21</v>
      </c>
      <c r="BG24" s="279">
        <v>3599999</v>
      </c>
      <c r="BH24" s="279"/>
      <c r="BI24" s="279"/>
      <c r="BJ24" s="219" t="s">
        <v>86</v>
      </c>
      <c r="BK24" s="219"/>
      <c r="BL24" s="219"/>
      <c r="BM24" s="219"/>
      <c r="BN24" s="219"/>
      <c r="BO24" s="219"/>
      <c r="BP24" s="219"/>
      <c r="BQ24" s="219"/>
      <c r="BR24" s="239"/>
      <c r="BS24" s="280">
        <f>ROUNDDOWN(K18/4,-3)*2.8-80000</f>
        <v>-80000</v>
      </c>
      <c r="BT24" s="280"/>
      <c r="BU24" s="280"/>
      <c r="BV24" s="280">
        <f>ROUNDDOWN(K20/4,-3)*2.8-80000</f>
        <v>-80000</v>
      </c>
      <c r="BW24" s="280"/>
      <c r="BX24" s="280"/>
      <c r="BY24" s="280">
        <f>ROUNDDOWN(K22/4,-3)*2.8-80000</f>
        <v>-80000</v>
      </c>
      <c r="BZ24" s="280"/>
      <c r="CA24" s="280"/>
      <c r="CB24" s="280">
        <f>ROUNDDOWN(K24/4,-3)*2.8-80000</f>
        <v>-80000</v>
      </c>
      <c r="CC24" s="280"/>
      <c r="CD24" s="280"/>
      <c r="CE24" s="280">
        <f>ROUNDDOWN(K26/4,-3)*2.8-80000</f>
        <v>-80000</v>
      </c>
      <c r="CF24" s="280"/>
      <c r="CG24" s="280"/>
      <c r="CH24" s="66">
        <v>8</v>
      </c>
      <c r="CI24" s="286"/>
      <c r="CJ24" s="287"/>
      <c r="CK24" s="486">
        <f t="shared" si="0"/>
        <v>10000001</v>
      </c>
      <c r="CL24" s="413"/>
      <c r="CM24" s="413"/>
      <c r="CN24" s="57" t="s">
        <v>98</v>
      </c>
      <c r="CO24" s="598"/>
      <c r="CP24" s="598"/>
      <c r="CQ24" s="599"/>
      <c r="CR24" s="545" t="s">
        <v>109</v>
      </c>
      <c r="CS24" s="411"/>
      <c r="CT24" s="411"/>
      <c r="CU24" s="411"/>
      <c r="CV24" s="412"/>
      <c r="CW24" s="434">
        <f>$P$18-1855000</f>
        <v>-1855000</v>
      </c>
      <c r="CX24" s="435"/>
      <c r="CY24" s="436"/>
      <c r="CZ24" s="434">
        <f>$P$20-1855000</f>
        <v>-1855000</v>
      </c>
      <c r="DA24" s="435"/>
      <c r="DB24" s="436"/>
      <c r="DC24" s="434">
        <f>$P$22-1855000</f>
        <v>-1855000</v>
      </c>
      <c r="DD24" s="435"/>
      <c r="DE24" s="436"/>
      <c r="DF24" s="434">
        <f>$P$24-1855000</f>
        <v>-1855000</v>
      </c>
      <c r="DG24" s="435"/>
      <c r="DH24" s="436"/>
      <c r="DI24" s="434">
        <f>$P$26-1855000</f>
        <v>-1855000</v>
      </c>
      <c r="DJ24" s="435"/>
      <c r="DK24" s="437"/>
    </row>
    <row r="25" spans="2:127" ht="18" customHeight="1" x14ac:dyDescent="0.15">
      <c r="B25" s="307"/>
      <c r="C25" s="308"/>
      <c r="D25" s="309"/>
      <c r="E25" s="312"/>
      <c r="F25" s="313"/>
      <c r="G25" s="315"/>
      <c r="H25" s="312"/>
      <c r="I25" s="313"/>
      <c r="J25" s="315"/>
      <c r="K25" s="318"/>
      <c r="L25" s="319"/>
      <c r="M25" s="319"/>
      <c r="N25" s="319"/>
      <c r="O25" s="46"/>
      <c r="P25" s="318"/>
      <c r="Q25" s="319"/>
      <c r="R25" s="319"/>
      <c r="S25" s="319"/>
      <c r="T25" s="46"/>
      <c r="U25" s="602"/>
      <c r="V25" s="603"/>
      <c r="W25" s="45"/>
      <c r="X25" s="708"/>
      <c r="Y25" s="597"/>
      <c r="Z25" s="597"/>
      <c r="AA25" s="36"/>
      <c r="AB25" s="596"/>
      <c r="AC25" s="597"/>
      <c r="AD25" s="597"/>
      <c r="AE25" s="36"/>
      <c r="AJ25" s="378"/>
      <c r="AK25" s="379"/>
      <c r="AL25" s="361"/>
      <c r="AM25" s="381"/>
      <c r="AN25" s="360"/>
      <c r="AO25" s="361"/>
      <c r="AP25" s="280"/>
      <c r="AQ25" s="280"/>
      <c r="AR25" s="280"/>
      <c r="AS25" s="280"/>
      <c r="AT25" s="365"/>
      <c r="AU25" s="366"/>
      <c r="AV25" s="366"/>
      <c r="AW25" s="367"/>
      <c r="AX25" s="370"/>
      <c r="AY25" s="371"/>
      <c r="AZ25" s="371"/>
      <c r="BA25" s="401"/>
      <c r="BB25" s="10">
        <v>9</v>
      </c>
      <c r="BC25" s="279">
        <v>3600000</v>
      </c>
      <c r="BD25" s="279"/>
      <c r="BE25" s="279"/>
      <c r="BF25" s="60" t="s">
        <v>21</v>
      </c>
      <c r="BG25" s="279">
        <v>6599999</v>
      </c>
      <c r="BH25" s="279"/>
      <c r="BI25" s="279"/>
      <c r="BJ25" s="219" t="s">
        <v>87</v>
      </c>
      <c r="BK25" s="219"/>
      <c r="BL25" s="219"/>
      <c r="BM25" s="219"/>
      <c r="BN25" s="219"/>
      <c r="BO25" s="219"/>
      <c r="BP25" s="219"/>
      <c r="BQ25" s="219"/>
      <c r="BR25" s="239"/>
      <c r="BS25" s="280">
        <f>ROUNDDOWN(K18/4,-3)*3.2-440000</f>
        <v>-440000</v>
      </c>
      <c r="BT25" s="280"/>
      <c r="BU25" s="280"/>
      <c r="BV25" s="280">
        <f>ROUNDDOWN(K20/4,-3)*3.2-440000</f>
        <v>-440000</v>
      </c>
      <c r="BW25" s="280"/>
      <c r="BX25" s="280"/>
      <c r="BY25" s="280">
        <f>ROUNDDOWN(K22/4,-3)*3.2-440000</f>
        <v>-440000</v>
      </c>
      <c r="BZ25" s="280"/>
      <c r="CA25" s="280"/>
      <c r="CB25" s="280">
        <f>ROUNDDOWN(K24/4,-3)*3.2-440000</f>
        <v>-440000</v>
      </c>
      <c r="CC25" s="280"/>
      <c r="CD25" s="280"/>
      <c r="CE25" s="280">
        <f>ROUNDDOWN(K26/4,-3)*3.2-440000</f>
        <v>-440000</v>
      </c>
      <c r="CF25" s="280"/>
      <c r="CG25" s="281"/>
      <c r="CH25" s="64">
        <v>9</v>
      </c>
      <c r="CI25" s="702">
        <v>64</v>
      </c>
      <c r="CJ25" s="703"/>
      <c r="CK25" s="409"/>
      <c r="CL25" s="347"/>
      <c r="CM25" s="347"/>
      <c r="CN25" s="65" t="s">
        <v>98</v>
      </c>
      <c r="CO25" s="325">
        <v>400000</v>
      </c>
      <c r="CP25" s="325"/>
      <c r="CQ25" s="325"/>
      <c r="CR25" s="327" t="s">
        <v>95</v>
      </c>
      <c r="CS25" s="328"/>
      <c r="CT25" s="328"/>
      <c r="CU25" s="328"/>
      <c r="CV25" s="328"/>
      <c r="CW25" s="300">
        <v>0</v>
      </c>
      <c r="CX25" s="301"/>
      <c r="CY25" s="302"/>
      <c r="CZ25" s="300">
        <v>0</v>
      </c>
      <c r="DA25" s="301"/>
      <c r="DB25" s="302"/>
      <c r="DC25" s="300">
        <v>0</v>
      </c>
      <c r="DD25" s="301"/>
      <c r="DE25" s="302"/>
      <c r="DF25" s="300">
        <v>0</v>
      </c>
      <c r="DG25" s="301"/>
      <c r="DH25" s="302"/>
      <c r="DI25" s="300">
        <v>0</v>
      </c>
      <c r="DJ25" s="301"/>
      <c r="DK25" s="303"/>
    </row>
    <row r="26" spans="2:127" ht="18" customHeight="1" x14ac:dyDescent="0.15">
      <c r="B26" s="386" t="s">
        <v>28</v>
      </c>
      <c r="C26" s="387"/>
      <c r="D26" s="388"/>
      <c r="E26" s="353">
        <f>試算入力用!$E$26</f>
        <v>0</v>
      </c>
      <c r="F26" s="354"/>
      <c r="G26" s="352" t="s">
        <v>23</v>
      </c>
      <c r="H26" s="353">
        <f>試算入力用!$H$26</f>
        <v>0</v>
      </c>
      <c r="I26" s="354"/>
      <c r="J26" s="352" t="s">
        <v>23</v>
      </c>
      <c r="K26" s="355">
        <f>試算入力用!$K$26</f>
        <v>0</v>
      </c>
      <c r="L26" s="356"/>
      <c r="M26" s="356"/>
      <c r="N26" s="356"/>
      <c r="O26" s="43" t="s">
        <v>24</v>
      </c>
      <c r="P26" s="357">
        <f>試算入力用!$P$26</f>
        <v>0</v>
      </c>
      <c r="Q26" s="358"/>
      <c r="R26" s="358"/>
      <c r="S26" s="358"/>
      <c r="T26" s="43" t="s">
        <v>24</v>
      </c>
      <c r="U26" s="604">
        <f>試算入力用!$U$26</f>
        <v>0</v>
      </c>
      <c r="V26" s="605"/>
      <c r="W26" s="43" t="s">
        <v>24</v>
      </c>
      <c r="X26" s="707">
        <f>IF(E26="","",SUM(AP26:BA27)-$AX$14)</f>
        <v>0</v>
      </c>
      <c r="Y26" s="595"/>
      <c r="Z26" s="595"/>
      <c r="AA26" s="37" t="s">
        <v>24</v>
      </c>
      <c r="AB26" s="610">
        <f>IF(X26="","",IF(X26&lt;=430000,0,X26-430000))</f>
        <v>0</v>
      </c>
      <c r="AC26" s="611"/>
      <c r="AD26" s="611"/>
      <c r="AE26" s="42" t="s">
        <v>24</v>
      </c>
      <c r="AJ26" s="378">
        <f>IF(K26="","",IF(K26&lt;BC18,1,IF(K26&lt;BC19,2,IF(K26&lt;BC20,3,IF(K26&lt;BC21,4,IF(K26&lt;BC22,5,IF(K26&lt;BC23,6,"")))))))</f>
        <v>1</v>
      </c>
      <c r="AK26" s="379" t="str">
        <f>IF(K26="","",IF(K26&lt;$BC$23,"",IF(K26&lt;$BC$24,7,IF(K26&lt;$BC$25,8,IF(K26&lt;$BC$26,9,IF(K26&lt;$BC$27,10,IF(K26&gt;=$BC$27,11,"")))))))</f>
        <v/>
      </c>
      <c r="AL26" s="361">
        <f>IF(AJ26="",AK26,AJ26)</f>
        <v>1</v>
      </c>
      <c r="AM26" s="380" t="str">
        <f t="shared" ref="AM26" si="4">IF(P26="","",IF(E26&lt;65,"",IF(E26&gt;=65,IF(P26&lt;=$CO$17,1,IF(P26&lt;=$CO$18,2,IF(P26&lt;=$CO$19,3,IF(P26&lt;=$CO$20,4,IF(P26&lt;=$CO$21,5,IF(P26&lt;=$CO$22,6,IF(P26&lt;=$CO$23,7,IF(P26&gt;=$CK$24,8,"")))))))))))</f>
        <v/>
      </c>
      <c r="AN26" s="359">
        <f>IF($P$26="","",IF($E$26-1&gt;=65,"",IF($E$26-1&lt;65,IF($P$26&lt;=$CO$25,9,IF($P$26&lt;=$CO$26,10,IF($P$26&lt;=$CO$27,11,IF($P$26&lt;=$CO$28,12,IF($P$26&lt;=$CO$29,13,IF($P$26&lt;=$CO$30,14,IF($P$26&lt;=$CO$31,15,IF($P$26&gt;=$CK$32,16,"")))))))))))</f>
        <v>9</v>
      </c>
      <c r="AO26" s="361">
        <f>IF(AM26="",AN26,AM26)</f>
        <v>9</v>
      </c>
      <c r="AP26" s="280">
        <f>IF(AL26="",0,VLOOKUP(AL26,BB17:CG27,30,0))</f>
        <v>0</v>
      </c>
      <c r="AQ26" s="280"/>
      <c r="AR26" s="280"/>
      <c r="AS26" s="280"/>
      <c r="AT26" s="362">
        <f>IF(AO26="",0,VLOOKUP(AO26,CH17:DK32,28,0))</f>
        <v>0</v>
      </c>
      <c r="AU26" s="363"/>
      <c r="AV26" s="363"/>
      <c r="AW26" s="363"/>
      <c r="AX26" s="368">
        <f>U26</f>
        <v>0</v>
      </c>
      <c r="AY26" s="369"/>
      <c r="AZ26" s="369"/>
      <c r="BA26" s="423"/>
      <c r="BB26" s="10">
        <v>10</v>
      </c>
      <c r="BC26" s="279">
        <v>6600000</v>
      </c>
      <c r="BD26" s="279"/>
      <c r="BE26" s="279"/>
      <c r="BF26" s="60" t="s">
        <v>21</v>
      </c>
      <c r="BG26" s="279">
        <v>8499999</v>
      </c>
      <c r="BH26" s="279"/>
      <c r="BI26" s="279"/>
      <c r="BJ26" s="219" t="s">
        <v>88</v>
      </c>
      <c r="BK26" s="219"/>
      <c r="BL26" s="219"/>
      <c r="BM26" s="219"/>
      <c r="BN26" s="219"/>
      <c r="BO26" s="219"/>
      <c r="BP26" s="219"/>
      <c r="BQ26" s="219"/>
      <c r="BR26" s="239"/>
      <c r="BS26" s="280">
        <f>K18*0.9-1100000</f>
        <v>-1100000</v>
      </c>
      <c r="BT26" s="280"/>
      <c r="BU26" s="280"/>
      <c r="BV26" s="280">
        <f>K20*0.9-1100000</f>
        <v>-1100000</v>
      </c>
      <c r="BW26" s="280"/>
      <c r="BX26" s="280"/>
      <c r="BY26" s="280">
        <f>K22*0.9-1100000</f>
        <v>-1100000</v>
      </c>
      <c r="BZ26" s="280"/>
      <c r="CA26" s="280"/>
      <c r="CB26" s="280">
        <f>K24*0.9-1100000</f>
        <v>-1100000</v>
      </c>
      <c r="CC26" s="280"/>
      <c r="CD26" s="280"/>
      <c r="CE26" s="280">
        <f>K26*0.9-1100000</f>
        <v>-1100000</v>
      </c>
      <c r="CF26" s="280"/>
      <c r="CG26" s="281"/>
      <c r="CH26" s="60">
        <v>10</v>
      </c>
      <c r="CI26" s="405"/>
      <c r="CJ26" s="406"/>
      <c r="CK26" s="409">
        <f>CO25+1</f>
        <v>400001</v>
      </c>
      <c r="CL26" s="347"/>
      <c r="CM26" s="347"/>
      <c r="CN26" s="57" t="s">
        <v>98</v>
      </c>
      <c r="CO26" s="348">
        <v>500000</v>
      </c>
      <c r="CP26" s="348"/>
      <c r="CQ26" s="348"/>
      <c r="CR26" s="350" t="s">
        <v>95</v>
      </c>
      <c r="CS26" s="351"/>
      <c r="CT26" s="351"/>
      <c r="CU26" s="351"/>
      <c r="CV26" s="351"/>
      <c r="CW26" s="340">
        <v>0</v>
      </c>
      <c r="CX26" s="341"/>
      <c r="CY26" s="342"/>
      <c r="CZ26" s="340">
        <v>0</v>
      </c>
      <c r="DA26" s="341"/>
      <c r="DB26" s="342"/>
      <c r="DC26" s="340">
        <v>0</v>
      </c>
      <c r="DD26" s="341"/>
      <c r="DE26" s="342"/>
      <c r="DF26" s="340">
        <v>0</v>
      </c>
      <c r="DG26" s="341"/>
      <c r="DH26" s="342"/>
      <c r="DI26" s="340">
        <v>0</v>
      </c>
      <c r="DJ26" s="341"/>
      <c r="DK26" s="343"/>
    </row>
    <row r="27" spans="2:127" ht="18" customHeight="1" thickBot="1" x14ac:dyDescent="0.2">
      <c r="B27" s="462"/>
      <c r="C27" s="463"/>
      <c r="D27" s="464"/>
      <c r="E27" s="552"/>
      <c r="F27" s="553"/>
      <c r="G27" s="554"/>
      <c r="H27" s="552"/>
      <c r="I27" s="553"/>
      <c r="J27" s="709"/>
      <c r="K27" s="355"/>
      <c r="L27" s="356"/>
      <c r="M27" s="356"/>
      <c r="N27" s="356"/>
      <c r="O27" s="45"/>
      <c r="P27" s="355"/>
      <c r="Q27" s="356"/>
      <c r="R27" s="356"/>
      <c r="S27" s="356"/>
      <c r="T27" s="45"/>
      <c r="U27" s="608"/>
      <c r="V27" s="609"/>
      <c r="W27" s="44"/>
      <c r="X27" s="710"/>
      <c r="Y27" s="613"/>
      <c r="Z27" s="613"/>
      <c r="AA27" s="38"/>
      <c r="AB27" s="612"/>
      <c r="AC27" s="613"/>
      <c r="AD27" s="613"/>
      <c r="AE27" s="38"/>
      <c r="AJ27" s="429"/>
      <c r="AK27" s="430"/>
      <c r="AL27" s="431"/>
      <c r="AM27" s="381"/>
      <c r="AN27" s="360"/>
      <c r="AO27" s="431"/>
      <c r="AP27" s="461"/>
      <c r="AQ27" s="461"/>
      <c r="AR27" s="461"/>
      <c r="AS27" s="461"/>
      <c r="AT27" s="616"/>
      <c r="AU27" s="617"/>
      <c r="AV27" s="617"/>
      <c r="AW27" s="617"/>
      <c r="AX27" s="424"/>
      <c r="AY27" s="425"/>
      <c r="AZ27" s="425"/>
      <c r="BA27" s="426"/>
      <c r="BB27" s="39">
        <v>11</v>
      </c>
      <c r="BC27" s="421">
        <v>8500000</v>
      </c>
      <c r="BD27" s="421"/>
      <c r="BE27" s="421"/>
      <c r="BF27" s="61" t="s">
        <v>21</v>
      </c>
      <c r="BG27" s="422"/>
      <c r="BH27" s="422"/>
      <c r="BI27" s="422"/>
      <c r="BJ27" s="421" t="s">
        <v>89</v>
      </c>
      <c r="BK27" s="421"/>
      <c r="BL27" s="421"/>
      <c r="BM27" s="421"/>
      <c r="BN27" s="421"/>
      <c r="BO27" s="421"/>
      <c r="BP27" s="421"/>
      <c r="BQ27" s="421"/>
      <c r="BR27" s="421"/>
      <c r="BS27" s="416">
        <f>K18-1950000</f>
        <v>-1950000</v>
      </c>
      <c r="BT27" s="417"/>
      <c r="BU27" s="417"/>
      <c r="BV27" s="416">
        <f>K20-1950000</f>
        <v>-1950000</v>
      </c>
      <c r="BW27" s="417"/>
      <c r="BX27" s="417"/>
      <c r="BY27" s="418">
        <f>K22-1950000</f>
        <v>-1950000</v>
      </c>
      <c r="BZ27" s="419"/>
      <c r="CA27" s="419"/>
      <c r="CB27" s="418">
        <f>K24-1950000</f>
        <v>-1950000</v>
      </c>
      <c r="CC27" s="419"/>
      <c r="CD27" s="419"/>
      <c r="CE27" s="418">
        <f>K26-1950000</f>
        <v>-1950000</v>
      </c>
      <c r="CF27" s="419"/>
      <c r="CG27" s="420"/>
      <c r="CH27" s="60">
        <v>11</v>
      </c>
      <c r="CI27" s="405"/>
      <c r="CJ27" s="406"/>
      <c r="CK27" s="409">
        <f t="shared" ref="CK27:CK32" si="5">CO26+1</f>
        <v>500001</v>
      </c>
      <c r="CL27" s="347"/>
      <c r="CM27" s="347"/>
      <c r="CN27" s="57" t="s">
        <v>98</v>
      </c>
      <c r="CO27" s="348">
        <v>600000</v>
      </c>
      <c r="CP27" s="348"/>
      <c r="CQ27" s="348"/>
      <c r="CR27" s="350" t="s">
        <v>110</v>
      </c>
      <c r="CS27" s="351"/>
      <c r="CT27" s="351"/>
      <c r="CU27" s="351"/>
      <c r="CV27" s="351"/>
      <c r="CW27" s="280">
        <f>IF($P$18-500000&gt;0,$P$18-500000,0)</f>
        <v>0</v>
      </c>
      <c r="CX27" s="280"/>
      <c r="CY27" s="280"/>
      <c r="CZ27" s="280">
        <f>IF($P$20-500000&gt;0,$P$20-500000,0)</f>
        <v>0</v>
      </c>
      <c r="DA27" s="280"/>
      <c r="DB27" s="280"/>
      <c r="DC27" s="280">
        <f>IF($P$22-500000&gt;0,$P$22-500000,0)</f>
        <v>0</v>
      </c>
      <c r="DD27" s="280"/>
      <c r="DE27" s="280"/>
      <c r="DF27" s="280">
        <f>IF($P$24-500000&gt;0,$P$24-500000,0)</f>
        <v>0</v>
      </c>
      <c r="DG27" s="280"/>
      <c r="DH27" s="280"/>
      <c r="DI27" s="280">
        <f>IF($P$26-500000&gt;0,$P$26-500000,0)</f>
        <v>0</v>
      </c>
      <c r="DJ27" s="280"/>
      <c r="DK27" s="281"/>
    </row>
    <row r="28" spans="2:127" ht="18" customHeight="1" x14ac:dyDescent="0.15">
      <c r="I28" s="13"/>
      <c r="J28" s="62"/>
      <c r="K28" s="62"/>
      <c r="L28" s="62"/>
      <c r="M28" s="62"/>
      <c r="N28" s="62"/>
      <c r="O28" s="62"/>
      <c r="P28" s="62"/>
      <c r="Q28" s="62"/>
      <c r="R28" s="62"/>
      <c r="S28" s="62"/>
      <c r="T28" s="62"/>
      <c r="AM28" s="62"/>
      <c r="AP28" s="459">
        <f>SUM(AP18:AP27)</f>
        <v>0</v>
      </c>
      <c r="AQ28" s="459"/>
      <c r="AR28" s="459"/>
      <c r="AS28" s="459"/>
      <c r="AT28" s="459">
        <f>SUM(AT18:AT27)</f>
        <v>0</v>
      </c>
      <c r="AU28" s="459"/>
      <c r="AV28" s="459"/>
      <c r="AW28" s="459"/>
      <c r="AX28" s="460">
        <f>SUM(AX18:AX27)</f>
        <v>0</v>
      </c>
      <c r="AY28" s="460"/>
      <c r="AZ28" s="460"/>
      <c r="BA28" s="460"/>
      <c r="BB28" s="13"/>
      <c r="BC28" s="29"/>
      <c r="BD28" s="29"/>
      <c r="BE28" s="29"/>
      <c r="BF28" s="59"/>
      <c r="BG28" s="59"/>
      <c r="BH28" s="59"/>
      <c r="BI28" s="59"/>
      <c r="BJ28" s="29"/>
      <c r="BK28" s="29"/>
      <c r="BL28" s="29"/>
      <c r="BM28" s="29"/>
      <c r="BN28" s="29"/>
      <c r="BO28" s="29"/>
      <c r="BP28" s="29"/>
      <c r="BQ28" s="29"/>
      <c r="BR28" s="29"/>
      <c r="BS28" s="30"/>
      <c r="BT28" s="31"/>
      <c r="BU28" s="31"/>
      <c r="BV28" s="30"/>
      <c r="BW28" s="31"/>
      <c r="BX28" s="31"/>
      <c r="BY28" s="32"/>
      <c r="BZ28" s="33"/>
      <c r="CA28" s="33"/>
      <c r="CB28" s="32"/>
      <c r="CC28" s="33"/>
      <c r="CD28" s="33"/>
      <c r="CE28" s="32"/>
      <c r="CF28" s="33"/>
      <c r="CG28" s="33"/>
      <c r="CH28" s="60">
        <v>12</v>
      </c>
      <c r="CI28" s="405"/>
      <c r="CJ28" s="406"/>
      <c r="CK28" s="409">
        <f t="shared" si="5"/>
        <v>600001</v>
      </c>
      <c r="CL28" s="347"/>
      <c r="CM28" s="347"/>
      <c r="CN28" s="57" t="s">
        <v>98</v>
      </c>
      <c r="CO28" s="348">
        <v>1300000</v>
      </c>
      <c r="CP28" s="348"/>
      <c r="CQ28" s="348"/>
      <c r="CR28" s="350" t="s">
        <v>110</v>
      </c>
      <c r="CS28" s="351"/>
      <c r="CT28" s="351"/>
      <c r="CU28" s="351"/>
      <c r="CV28" s="351"/>
      <c r="CW28" s="280">
        <f>IF($P$18-500000&gt;0,$P$18-500000,0)</f>
        <v>0</v>
      </c>
      <c r="CX28" s="280"/>
      <c r="CY28" s="280"/>
      <c r="CZ28" s="280">
        <f>IF($P$20-500000&gt;0,$P$20-500000,0)</f>
        <v>0</v>
      </c>
      <c r="DA28" s="280"/>
      <c r="DB28" s="280"/>
      <c r="DC28" s="280">
        <f>IF($P$22-500000&gt;0,$P$22-500000,0)</f>
        <v>0</v>
      </c>
      <c r="DD28" s="280"/>
      <c r="DE28" s="280"/>
      <c r="DF28" s="280">
        <f>IF($P$24-500000&gt;0,$P$24-500000,0)</f>
        <v>0</v>
      </c>
      <c r="DG28" s="280"/>
      <c r="DH28" s="280"/>
      <c r="DI28" s="280">
        <f>IF($P$26-500000&gt;0,$P$26-500000,0)</f>
        <v>0</v>
      </c>
      <c r="DJ28" s="280"/>
      <c r="DK28" s="281"/>
    </row>
    <row r="29" spans="2:127" ht="18.75" customHeight="1" thickBot="1" x14ac:dyDescent="0.2">
      <c r="B29" s="12" t="s">
        <v>29</v>
      </c>
      <c r="V29"/>
      <c r="W29"/>
      <c r="X29"/>
      <c r="Y29"/>
      <c r="Z29"/>
      <c r="CH29" s="60">
        <v>13</v>
      </c>
      <c r="CI29" s="405"/>
      <c r="CJ29" s="406"/>
      <c r="CK29" s="409">
        <f t="shared" si="5"/>
        <v>1300001</v>
      </c>
      <c r="CL29" s="347"/>
      <c r="CM29" s="347"/>
      <c r="CN29" s="57" t="s">
        <v>98</v>
      </c>
      <c r="CO29" s="348">
        <v>4100000</v>
      </c>
      <c r="CP29" s="348"/>
      <c r="CQ29" s="348"/>
      <c r="CR29" s="697" t="s">
        <v>106</v>
      </c>
      <c r="CS29" s="698"/>
      <c r="CT29" s="698"/>
      <c r="CU29" s="698"/>
      <c r="CV29" s="698"/>
      <c r="CW29" s="340">
        <f>$P$18*0.75-175000</f>
        <v>-175000</v>
      </c>
      <c r="CX29" s="341"/>
      <c r="CY29" s="342"/>
      <c r="CZ29" s="340">
        <f>$P$20*0.75-175000</f>
        <v>-175000</v>
      </c>
      <c r="DA29" s="341"/>
      <c r="DB29" s="342"/>
      <c r="DC29" s="340">
        <f>$P$22*0.75-175000</f>
        <v>-175000</v>
      </c>
      <c r="DD29" s="341"/>
      <c r="DE29" s="342"/>
      <c r="DF29" s="340">
        <f>$P$24*0.75-175000</f>
        <v>-175000</v>
      </c>
      <c r="DG29" s="341"/>
      <c r="DH29" s="342"/>
      <c r="DI29" s="340">
        <f>$P$26*0.75-175000</f>
        <v>-175000</v>
      </c>
      <c r="DJ29" s="341"/>
      <c r="DK29" s="343"/>
    </row>
    <row r="30" spans="2:127" ht="15" customHeight="1" x14ac:dyDescent="0.15">
      <c r="B30" s="181" t="s">
        <v>31</v>
      </c>
      <c r="C30" s="182"/>
      <c r="D30" s="182"/>
      <c r="E30" s="336"/>
      <c r="F30" s="442">
        <f>COUNTA(E18:E27)</f>
        <v>5</v>
      </c>
      <c r="G30" s="443"/>
      <c r="H30" s="446" t="s">
        <v>32</v>
      </c>
      <c r="I30" s="448" t="s">
        <v>33</v>
      </c>
      <c r="J30" s="449"/>
      <c r="K30" s="449"/>
      <c r="L30" s="449"/>
      <c r="M30" s="449"/>
      <c r="N30" s="450"/>
      <c r="O30" s="454">
        <f>SUM(AB18:AD27)</f>
        <v>0</v>
      </c>
      <c r="P30" s="455"/>
      <c r="Q30" s="455"/>
      <c r="R30" s="456"/>
      <c r="S30" s="446" t="s">
        <v>24</v>
      </c>
      <c r="T30" s="13"/>
      <c r="U30" s="13"/>
      <c r="V30"/>
      <c r="W30"/>
      <c r="X30"/>
      <c r="Y30"/>
      <c r="Z30"/>
      <c r="AA30" s="13"/>
      <c r="AB30" s="13"/>
      <c r="AC30" s="13"/>
      <c r="AD30" s="13"/>
      <c r="AE30" s="13"/>
      <c r="AF30" s="13"/>
      <c r="AV30" s="25"/>
      <c r="AW30" s="26"/>
      <c r="AX30" s="26"/>
      <c r="AY30" s="26"/>
      <c r="AZ30" s="26"/>
      <c r="BA30" s="26"/>
      <c r="BB30" s="28" t="s">
        <v>61</v>
      </c>
      <c r="BD30" s="25"/>
      <c r="BE30" s="27"/>
      <c r="BF30" s="27"/>
      <c r="BG30" s="27"/>
      <c r="BH30" s="27"/>
      <c r="BI30" s="27"/>
      <c r="BK30" s="27"/>
      <c r="CH30" s="60">
        <v>14</v>
      </c>
      <c r="CI30" s="405"/>
      <c r="CJ30" s="406"/>
      <c r="CK30" s="409">
        <f t="shared" si="5"/>
        <v>4100001</v>
      </c>
      <c r="CL30" s="347"/>
      <c r="CM30" s="347"/>
      <c r="CN30" s="57" t="s">
        <v>98</v>
      </c>
      <c r="CO30" s="348">
        <v>7700000</v>
      </c>
      <c r="CP30" s="348"/>
      <c r="CQ30" s="348"/>
      <c r="CR30" s="697" t="s">
        <v>107</v>
      </c>
      <c r="CS30" s="698"/>
      <c r="CT30" s="698"/>
      <c r="CU30" s="698"/>
      <c r="CV30" s="698"/>
      <c r="CW30" s="340">
        <f>$P$18*0.85-585000</f>
        <v>-585000</v>
      </c>
      <c r="CX30" s="341"/>
      <c r="CY30" s="342"/>
      <c r="CZ30" s="340">
        <f>$P$20*0.85-585000</f>
        <v>-585000</v>
      </c>
      <c r="DA30" s="341"/>
      <c r="DB30" s="342"/>
      <c r="DC30" s="340">
        <f>$P$22*0.85-585000</f>
        <v>-585000</v>
      </c>
      <c r="DD30" s="341"/>
      <c r="DE30" s="342"/>
      <c r="DF30" s="340">
        <f>$P$24*0.85-585000</f>
        <v>-585000</v>
      </c>
      <c r="DG30" s="341"/>
      <c r="DH30" s="342"/>
      <c r="DI30" s="340">
        <f>$P$26*0.85-585000</f>
        <v>-585000</v>
      </c>
      <c r="DJ30" s="341"/>
      <c r="DK30" s="343"/>
    </row>
    <row r="31" spans="2:127" ht="12" customHeight="1" thickBot="1" x14ac:dyDescent="0.2">
      <c r="B31" s="184"/>
      <c r="C31" s="185"/>
      <c r="D31" s="185"/>
      <c r="E31" s="441"/>
      <c r="F31" s="444"/>
      <c r="G31" s="445"/>
      <c r="H31" s="447"/>
      <c r="I31" s="451"/>
      <c r="J31" s="452"/>
      <c r="K31" s="452"/>
      <c r="L31" s="452"/>
      <c r="M31" s="452"/>
      <c r="N31" s="453"/>
      <c r="O31" s="457"/>
      <c r="P31" s="457"/>
      <c r="Q31" s="457"/>
      <c r="R31" s="458"/>
      <c r="S31" s="447"/>
      <c r="T31" s="13"/>
      <c r="U31" s="13"/>
      <c r="V31"/>
      <c r="W31"/>
      <c r="X31"/>
      <c r="Y31"/>
      <c r="Z31"/>
      <c r="AA31" s="13"/>
      <c r="AB31" s="13"/>
      <c r="AC31" s="13"/>
      <c r="AD31" s="13"/>
      <c r="AE31" s="13"/>
      <c r="AF31" s="13"/>
      <c r="AV31" s="25"/>
      <c r="AW31" s="26"/>
      <c r="AX31" s="26"/>
      <c r="AY31" s="26"/>
      <c r="AZ31" s="26"/>
      <c r="BA31" s="26"/>
      <c r="BB31" s="26"/>
      <c r="BC31" s="26"/>
      <c r="BD31" s="23"/>
      <c r="BE31" s="24"/>
      <c r="BF31" s="24"/>
      <c r="BG31" s="24"/>
      <c r="BH31" s="24"/>
      <c r="BI31" s="24"/>
      <c r="BJ31" s="24"/>
      <c r="BK31" s="24"/>
      <c r="CH31" s="60">
        <v>15</v>
      </c>
      <c r="CI31" s="405"/>
      <c r="CJ31" s="406"/>
      <c r="CK31" s="409">
        <f t="shared" si="5"/>
        <v>7700001</v>
      </c>
      <c r="CL31" s="347"/>
      <c r="CM31" s="347"/>
      <c r="CN31" s="57" t="s">
        <v>98</v>
      </c>
      <c r="CO31" s="348">
        <v>10000000</v>
      </c>
      <c r="CP31" s="348"/>
      <c r="CQ31" s="348"/>
      <c r="CR31" s="699" t="s">
        <v>108</v>
      </c>
      <c r="CS31" s="700"/>
      <c r="CT31" s="700"/>
      <c r="CU31" s="700"/>
      <c r="CV31" s="700"/>
      <c r="CW31" s="340">
        <f>$P$18*0.95-1355000</f>
        <v>-1355000</v>
      </c>
      <c r="CX31" s="341"/>
      <c r="CY31" s="342"/>
      <c r="CZ31" s="340">
        <f>$P$20*0.95-1355000</f>
        <v>-1355000</v>
      </c>
      <c r="DA31" s="341"/>
      <c r="DB31" s="342"/>
      <c r="DC31" s="340">
        <f>$P$22*0.95-1355000</f>
        <v>-1355000</v>
      </c>
      <c r="DD31" s="341"/>
      <c r="DE31" s="342"/>
      <c r="DF31" s="340">
        <f>$P$24*0.95-1355000</f>
        <v>-1355000</v>
      </c>
      <c r="DG31" s="341"/>
      <c r="DH31" s="342"/>
      <c r="DI31" s="340">
        <f>$P$26*0.95-1355000</f>
        <v>-1355000</v>
      </c>
      <c r="DJ31" s="341"/>
      <c r="DK31" s="343"/>
    </row>
    <row r="32" spans="2:127" ht="14.25" customHeight="1" thickBot="1" x14ac:dyDescent="0.2">
      <c r="V32" s="551"/>
      <c r="W32" s="551"/>
      <c r="X32" s="551"/>
      <c r="Y32" s="551"/>
      <c r="Z32" s="551"/>
      <c r="AS32" s="480" t="s">
        <v>30</v>
      </c>
      <c r="AT32" s="481"/>
      <c r="AU32" s="481"/>
      <c r="AV32" s="481"/>
      <c r="AW32" s="481"/>
      <c r="AX32" s="481"/>
      <c r="AY32" s="481"/>
      <c r="AZ32" s="481"/>
      <c r="BA32" s="481"/>
      <c r="BB32" s="481"/>
      <c r="BC32" s="482"/>
      <c r="BD32" s="483">
        <v>3</v>
      </c>
      <c r="BE32" s="484"/>
      <c r="BF32" s="484"/>
      <c r="BG32" s="484"/>
      <c r="BH32" s="484"/>
      <c r="BI32" s="484"/>
      <c r="BJ32" s="484"/>
      <c r="BK32" s="485"/>
      <c r="CH32" s="66">
        <v>16</v>
      </c>
      <c r="CI32" s="405"/>
      <c r="CJ32" s="406"/>
      <c r="CK32" s="486">
        <f t="shared" si="5"/>
        <v>10000001</v>
      </c>
      <c r="CL32" s="413"/>
      <c r="CM32" s="413"/>
      <c r="CN32" s="67" t="s">
        <v>98</v>
      </c>
      <c r="CO32" s="414"/>
      <c r="CP32" s="414"/>
      <c r="CQ32" s="414"/>
      <c r="CR32" s="410" t="s">
        <v>109</v>
      </c>
      <c r="CS32" s="411"/>
      <c r="CT32" s="411"/>
      <c r="CU32" s="411"/>
      <c r="CV32" s="412"/>
      <c r="CW32" s="434">
        <f>$P$18-1855000</f>
        <v>-1855000</v>
      </c>
      <c r="CX32" s="435"/>
      <c r="CY32" s="436"/>
      <c r="CZ32" s="434">
        <f>$P$20-1855000</f>
        <v>-1855000</v>
      </c>
      <c r="DA32" s="435"/>
      <c r="DB32" s="436"/>
      <c r="DC32" s="434">
        <f>$P$22-1855000</f>
        <v>-1855000</v>
      </c>
      <c r="DD32" s="435"/>
      <c r="DE32" s="436"/>
      <c r="DF32" s="434">
        <f>$P$24-1855000</f>
        <v>-1855000</v>
      </c>
      <c r="DG32" s="435"/>
      <c r="DH32" s="436"/>
      <c r="DI32" s="434">
        <f>$P$26-1855000</f>
        <v>-1855000</v>
      </c>
      <c r="DJ32" s="435"/>
      <c r="DK32" s="437"/>
    </row>
    <row r="33" spans="1:116" ht="18.75" customHeight="1" thickBot="1" x14ac:dyDescent="0.2">
      <c r="B33" s="12" t="str">
        <f>"国民健康保険税の算定方法（令和"&amp;BD32&amp;"年度）"</f>
        <v>国民健康保険税の算定方法（令和3年度）</v>
      </c>
      <c r="AJ33" s="466" t="s">
        <v>34</v>
      </c>
      <c r="AK33" s="466"/>
      <c r="AL33" s="466"/>
      <c r="AM33" s="466" t="s">
        <v>35</v>
      </c>
      <c r="AN33" s="466"/>
      <c r="AO33" s="466"/>
      <c r="AP33" s="467"/>
      <c r="AQ33" s="468"/>
      <c r="AR33" s="469"/>
      <c r="AS33" s="239" t="s">
        <v>36</v>
      </c>
      <c r="AT33" s="240"/>
      <c r="AU33" s="240"/>
      <c r="AV33" s="240"/>
      <c r="AW33" s="240"/>
      <c r="AX33" s="240"/>
      <c r="AY33" s="240"/>
      <c r="AZ33" s="240"/>
      <c r="BA33" s="240"/>
      <c r="BB33" s="240"/>
      <c r="BC33" s="240"/>
      <c r="BD33" s="240"/>
      <c r="BE33" s="240"/>
      <c r="BF33" s="240"/>
      <c r="BG33" s="240"/>
      <c r="BH33" s="241"/>
      <c r="CH33" s="62"/>
      <c r="CI33" s="62"/>
      <c r="CJ33" s="62"/>
      <c r="CK33" s="13"/>
      <c r="CL33" s="13"/>
      <c r="CR33" s="13"/>
      <c r="CS33" s="13"/>
    </row>
    <row r="34" spans="1:116" ht="18.75" customHeight="1" x14ac:dyDescent="0.15">
      <c r="B34" s="618"/>
      <c r="C34" s="619"/>
      <c r="D34" s="619"/>
      <c r="E34" s="619"/>
      <c r="F34" s="619"/>
      <c r="G34" s="619"/>
      <c r="H34" s="619"/>
      <c r="I34" s="619"/>
      <c r="J34" s="619"/>
      <c r="K34" s="619"/>
      <c r="L34" s="619"/>
      <c r="M34" s="619"/>
      <c r="N34" s="619"/>
      <c r="O34" s="619"/>
      <c r="P34" s="620"/>
      <c r="Q34" s="293" t="s">
        <v>36</v>
      </c>
      <c r="R34" s="217"/>
      <c r="S34" s="217"/>
      <c r="T34" s="217"/>
      <c r="U34" s="217"/>
      <c r="V34" s="217"/>
      <c r="W34" s="217"/>
      <c r="X34" s="217"/>
      <c r="Y34" s="217"/>
      <c r="Z34" s="217"/>
      <c r="AA34" s="217"/>
      <c r="AB34" s="288"/>
      <c r="AC34" s="59"/>
      <c r="AD34" s="59"/>
      <c r="AE34" s="59"/>
      <c r="AF34" s="59"/>
      <c r="AJ34" s="466"/>
      <c r="AK34" s="466"/>
      <c r="AL34" s="466"/>
      <c r="AM34" s="466"/>
      <c r="AN34" s="466"/>
      <c r="AO34" s="466"/>
      <c r="AP34" s="470"/>
      <c r="AQ34" s="471"/>
      <c r="AR34" s="472"/>
      <c r="AS34" s="219" t="s">
        <v>37</v>
      </c>
      <c r="AT34" s="219"/>
      <c r="AU34" s="219"/>
      <c r="AV34" s="219"/>
      <c r="AW34" s="239" t="s">
        <v>38</v>
      </c>
      <c r="AX34" s="240"/>
      <c r="AY34" s="240"/>
      <c r="AZ34" s="240"/>
      <c r="BA34" s="240"/>
      <c r="BB34" s="240"/>
      <c r="BC34" s="240"/>
      <c r="BD34" s="241"/>
      <c r="BE34" s="219" t="s">
        <v>39</v>
      </c>
      <c r="BF34" s="219"/>
      <c r="BG34" s="219"/>
      <c r="BH34" s="219"/>
      <c r="BM34" s="219" t="s">
        <v>70</v>
      </c>
      <c r="BN34" s="219"/>
      <c r="BO34" s="219"/>
      <c r="BP34" s="219"/>
      <c r="BQ34" s="473" t="s">
        <v>72</v>
      </c>
      <c r="BR34" s="473"/>
      <c r="BS34" s="473"/>
      <c r="BT34" s="473"/>
      <c r="BU34" s="473"/>
      <c r="BV34" s="473"/>
      <c r="BW34" s="473"/>
      <c r="BX34" s="496" t="s">
        <v>73</v>
      </c>
      <c r="BY34" s="496"/>
      <c r="BZ34" s="496"/>
      <c r="CA34" s="252">
        <v>330000</v>
      </c>
      <c r="CB34" s="252"/>
      <c r="CC34" s="252"/>
    </row>
    <row r="35" spans="1:116" ht="18.75" customHeight="1" thickBot="1" x14ac:dyDescent="0.2">
      <c r="B35" s="621"/>
      <c r="C35" s="622"/>
      <c r="D35" s="622"/>
      <c r="E35" s="622"/>
      <c r="F35" s="622"/>
      <c r="G35" s="622"/>
      <c r="H35" s="622"/>
      <c r="I35" s="622"/>
      <c r="J35" s="622"/>
      <c r="K35" s="622"/>
      <c r="L35" s="622"/>
      <c r="M35" s="622"/>
      <c r="N35" s="622"/>
      <c r="O35" s="622"/>
      <c r="P35" s="623"/>
      <c r="Q35" s="191" t="s">
        <v>37</v>
      </c>
      <c r="R35" s="188"/>
      <c r="S35" s="188"/>
      <c r="T35" s="188"/>
      <c r="U35" s="188" t="s">
        <v>38</v>
      </c>
      <c r="V35" s="188"/>
      <c r="W35" s="188"/>
      <c r="X35" s="188"/>
      <c r="Y35" s="188" t="s">
        <v>39</v>
      </c>
      <c r="Z35" s="188"/>
      <c r="AA35" s="188"/>
      <c r="AB35" s="628"/>
      <c r="AJ35" s="361">
        <f>IF(AND(40&lt;=H18,H18&lt;=64),1,0)</f>
        <v>0</v>
      </c>
      <c r="AK35" s="361"/>
      <c r="AL35" s="361"/>
      <c r="AM35" s="490">
        <f>IF(AJ35=0,0,AB18)</f>
        <v>0</v>
      </c>
      <c r="AN35" s="491"/>
      <c r="AO35" s="492"/>
      <c r="AP35" s="219" t="s">
        <v>40</v>
      </c>
      <c r="AQ35" s="219"/>
      <c r="AR35" s="219"/>
      <c r="AS35" s="624">
        <v>6.0199999999999997E-2</v>
      </c>
      <c r="AT35" s="624"/>
      <c r="AU35" s="624"/>
      <c r="AV35" s="624"/>
      <c r="AW35" s="227">
        <v>1.5299999999999999E-2</v>
      </c>
      <c r="AX35" s="228"/>
      <c r="AY35" s="228"/>
      <c r="AZ35" s="228"/>
      <c r="BA35" s="228"/>
      <c r="BB35" s="228"/>
      <c r="BC35" s="228"/>
      <c r="BD35" s="229"/>
      <c r="BE35" s="624">
        <v>1.38E-2</v>
      </c>
      <c r="BF35" s="624"/>
      <c r="BG35" s="624"/>
      <c r="BH35" s="624"/>
      <c r="BM35" s="219"/>
      <c r="BN35" s="219"/>
      <c r="BO35" s="219"/>
      <c r="BP35" s="219"/>
      <c r="BQ35" s="473"/>
      <c r="BR35" s="473"/>
      <c r="BS35" s="473"/>
      <c r="BT35" s="473"/>
      <c r="BU35" s="473"/>
      <c r="BV35" s="473"/>
      <c r="BW35" s="473"/>
      <c r="BX35" s="496"/>
      <c r="BY35" s="496"/>
      <c r="BZ35" s="496"/>
      <c r="CA35" s="252"/>
      <c r="CB35" s="252"/>
      <c r="CC35" s="252"/>
    </row>
    <row r="36" spans="1:116" ht="20.25" customHeight="1" x14ac:dyDescent="0.15">
      <c r="B36" s="625" t="s">
        <v>55</v>
      </c>
      <c r="C36" s="403"/>
      <c r="D36" s="403"/>
      <c r="E36" s="626" t="s">
        <v>41</v>
      </c>
      <c r="F36" s="626"/>
      <c r="G36" s="626"/>
      <c r="H36" s="626"/>
      <c r="I36" s="626"/>
      <c r="J36" s="626" t="s">
        <v>42</v>
      </c>
      <c r="K36" s="629"/>
      <c r="L36" s="629"/>
      <c r="M36" s="629"/>
      <c r="N36" s="629"/>
      <c r="O36" s="629"/>
      <c r="P36" s="630"/>
      <c r="Q36" s="197">
        <f>AS35</f>
        <v>6.0199999999999997E-2</v>
      </c>
      <c r="R36" s="633"/>
      <c r="S36" s="633"/>
      <c r="T36" s="633"/>
      <c r="U36" s="633">
        <f>AW35</f>
        <v>1.5299999999999999E-2</v>
      </c>
      <c r="V36" s="633"/>
      <c r="W36" s="633"/>
      <c r="X36" s="633"/>
      <c r="Y36" s="633">
        <f>BE35</f>
        <v>1.38E-2</v>
      </c>
      <c r="Z36" s="633"/>
      <c r="AA36" s="633"/>
      <c r="AB36" s="636"/>
      <c r="AJ36" s="361"/>
      <c r="AK36" s="361"/>
      <c r="AL36" s="361"/>
      <c r="AM36" s="493"/>
      <c r="AN36" s="494"/>
      <c r="AO36" s="495"/>
      <c r="AP36" s="219"/>
      <c r="AQ36" s="219"/>
      <c r="AR36" s="219"/>
      <c r="AS36" s="624"/>
      <c r="AT36" s="624"/>
      <c r="AU36" s="624"/>
      <c r="AV36" s="624"/>
      <c r="AW36" s="230"/>
      <c r="AX36" s="231"/>
      <c r="AY36" s="231"/>
      <c r="AZ36" s="231"/>
      <c r="BA36" s="231"/>
      <c r="BB36" s="231"/>
      <c r="BC36" s="231"/>
      <c r="BD36" s="232"/>
      <c r="BE36" s="624"/>
      <c r="BF36" s="624"/>
      <c r="BG36" s="624"/>
      <c r="BH36" s="624"/>
      <c r="BM36" s="219"/>
      <c r="BN36" s="219"/>
      <c r="BO36" s="219"/>
      <c r="BP36" s="219"/>
      <c r="BQ36" s="473"/>
      <c r="BR36" s="473"/>
      <c r="BS36" s="473"/>
      <c r="BT36" s="473"/>
      <c r="BU36" s="473"/>
      <c r="BV36" s="473"/>
      <c r="BW36" s="473"/>
      <c r="BX36" s="496"/>
      <c r="BY36" s="496"/>
      <c r="BZ36" s="496"/>
      <c r="CA36" s="252"/>
      <c r="CB36" s="252"/>
      <c r="CC36" s="252"/>
    </row>
    <row r="37" spans="1:116" ht="20.25" customHeight="1" x14ac:dyDescent="0.15">
      <c r="B37" s="218"/>
      <c r="C37" s="219"/>
      <c r="D37" s="219"/>
      <c r="E37" s="627"/>
      <c r="F37" s="627"/>
      <c r="G37" s="627"/>
      <c r="H37" s="627"/>
      <c r="I37" s="627"/>
      <c r="J37" s="631"/>
      <c r="K37" s="631"/>
      <c r="L37" s="631"/>
      <c r="M37" s="631"/>
      <c r="N37" s="631"/>
      <c r="O37" s="631"/>
      <c r="P37" s="632"/>
      <c r="Q37" s="634"/>
      <c r="R37" s="635"/>
      <c r="S37" s="635"/>
      <c r="T37" s="635"/>
      <c r="U37" s="635"/>
      <c r="V37" s="635"/>
      <c r="W37" s="635"/>
      <c r="X37" s="635"/>
      <c r="Y37" s="635"/>
      <c r="Z37" s="635"/>
      <c r="AA37" s="635"/>
      <c r="AB37" s="637"/>
      <c r="AJ37" s="361">
        <f>IF(AND(40&lt;=H20,H20&lt;=64),1,0)</f>
        <v>0</v>
      </c>
      <c r="AK37" s="361"/>
      <c r="AL37" s="361"/>
      <c r="AM37" s="490">
        <f>IF(AJ37=0,0,AB20)</f>
        <v>0</v>
      </c>
      <c r="AN37" s="491"/>
      <c r="AO37" s="492"/>
      <c r="AP37" s="219" t="s">
        <v>43</v>
      </c>
      <c r="AQ37" s="219"/>
      <c r="AR37" s="219"/>
      <c r="AS37" s="501">
        <v>24800</v>
      </c>
      <c r="AT37" s="226"/>
      <c r="AU37" s="226"/>
      <c r="AV37" s="226"/>
      <c r="AW37" s="233">
        <v>8400</v>
      </c>
      <c r="AX37" s="234"/>
      <c r="AY37" s="234"/>
      <c r="AZ37" s="234"/>
      <c r="BA37" s="234"/>
      <c r="BB37" s="234"/>
      <c r="BC37" s="234"/>
      <c r="BD37" s="235"/>
      <c r="BE37" s="501">
        <v>8900</v>
      </c>
      <c r="BF37" s="226"/>
      <c r="BG37" s="226"/>
      <c r="BH37" s="226"/>
      <c r="BM37" s="219" t="s">
        <v>69</v>
      </c>
      <c r="BN37" s="219"/>
      <c r="BO37" s="219"/>
      <c r="BP37" s="219"/>
      <c r="BQ37" s="473" t="s">
        <v>76</v>
      </c>
      <c r="BR37" s="473" t="s">
        <v>67</v>
      </c>
      <c r="BS37" s="473" t="s">
        <v>67</v>
      </c>
      <c r="BT37" s="473" t="s">
        <v>67</v>
      </c>
      <c r="BU37" s="473" t="s">
        <v>67</v>
      </c>
      <c r="BV37" s="473" t="s">
        <v>67</v>
      </c>
      <c r="BW37" s="473" t="s">
        <v>67</v>
      </c>
      <c r="BX37" s="496" t="s">
        <v>74</v>
      </c>
      <c r="BY37" s="496"/>
      <c r="BZ37" s="496"/>
      <c r="CA37" s="252">
        <v>285000</v>
      </c>
      <c r="CB37" s="252"/>
      <c r="CC37" s="252"/>
    </row>
    <row r="38" spans="1:116" ht="20.25" customHeight="1" x14ac:dyDescent="0.15">
      <c r="B38" s="218" t="s">
        <v>56</v>
      </c>
      <c r="C38" s="219"/>
      <c r="D38" s="219"/>
      <c r="E38" s="627" t="s">
        <v>45</v>
      </c>
      <c r="F38" s="627"/>
      <c r="G38" s="627"/>
      <c r="H38" s="627"/>
      <c r="I38" s="627"/>
      <c r="J38" s="649" t="s">
        <v>46</v>
      </c>
      <c r="K38" s="164"/>
      <c r="L38" s="164"/>
      <c r="M38" s="164"/>
      <c r="N38" s="164"/>
      <c r="O38" s="164"/>
      <c r="P38" s="165"/>
      <c r="Q38" s="650" t="str">
        <f>FIXED(AS37,0,FALSE)&amp;"円"&amp;CHAR(10)&amp;"×加入者数"</f>
        <v>24,800円
×加入者数</v>
      </c>
      <c r="R38" s="651"/>
      <c r="S38" s="651"/>
      <c r="T38" s="651"/>
      <c r="U38" s="651" t="str">
        <f>FIXED(AW37,0,FALSE)&amp;"円"&amp;CHAR(10)&amp;"×加入者数"</f>
        <v>8,400円
×加入者数</v>
      </c>
      <c r="V38" s="651"/>
      <c r="W38" s="651"/>
      <c r="X38" s="651"/>
      <c r="Y38" s="651" t="str">
        <f>FIXED(BE37,0,FALSE)&amp;"円"&amp;CHAR(10)&amp;"×加入者数"</f>
        <v>8,900円
×加入者数</v>
      </c>
      <c r="Z38" s="651"/>
      <c r="AA38" s="651"/>
      <c r="AB38" s="652"/>
      <c r="AJ38" s="361"/>
      <c r="AK38" s="361"/>
      <c r="AL38" s="361"/>
      <c r="AM38" s="493"/>
      <c r="AN38" s="494"/>
      <c r="AO38" s="495"/>
      <c r="AP38" s="219"/>
      <c r="AQ38" s="219"/>
      <c r="AR38" s="219"/>
      <c r="AS38" s="226"/>
      <c r="AT38" s="226"/>
      <c r="AU38" s="226"/>
      <c r="AV38" s="226"/>
      <c r="AW38" s="236"/>
      <c r="AX38" s="237"/>
      <c r="AY38" s="237"/>
      <c r="AZ38" s="237"/>
      <c r="BA38" s="237"/>
      <c r="BB38" s="237"/>
      <c r="BC38" s="237"/>
      <c r="BD38" s="238"/>
      <c r="BE38" s="226"/>
      <c r="BF38" s="226"/>
      <c r="BG38" s="226"/>
      <c r="BH38" s="226"/>
      <c r="BM38" s="219"/>
      <c r="BN38" s="219"/>
      <c r="BO38" s="219"/>
      <c r="BP38" s="219"/>
      <c r="BQ38" s="473"/>
      <c r="BR38" s="473"/>
      <c r="BS38" s="473"/>
      <c r="BT38" s="473"/>
      <c r="BU38" s="473"/>
      <c r="BV38" s="473"/>
      <c r="BW38" s="473"/>
      <c r="BX38" s="496"/>
      <c r="BY38" s="496"/>
      <c r="BZ38" s="496"/>
      <c r="CA38" s="252"/>
      <c r="CB38" s="252"/>
      <c r="CC38" s="252"/>
    </row>
    <row r="39" spans="1:116" ht="20.25" customHeight="1" x14ac:dyDescent="0.15">
      <c r="B39" s="218"/>
      <c r="C39" s="219"/>
      <c r="D39" s="219"/>
      <c r="E39" s="627"/>
      <c r="F39" s="627"/>
      <c r="G39" s="627"/>
      <c r="H39" s="627"/>
      <c r="I39" s="627"/>
      <c r="J39" s="164"/>
      <c r="K39" s="164"/>
      <c r="L39" s="164"/>
      <c r="M39" s="164"/>
      <c r="N39" s="164"/>
      <c r="O39" s="164"/>
      <c r="P39" s="165"/>
      <c r="Q39" s="650"/>
      <c r="R39" s="651"/>
      <c r="S39" s="651"/>
      <c r="T39" s="651"/>
      <c r="U39" s="651"/>
      <c r="V39" s="651"/>
      <c r="W39" s="651"/>
      <c r="X39" s="651"/>
      <c r="Y39" s="651"/>
      <c r="Z39" s="651"/>
      <c r="AA39" s="651"/>
      <c r="AB39" s="652"/>
      <c r="AJ39" s="361">
        <f>IF(AND(40&lt;=H22,H22&lt;=64),1,0)</f>
        <v>0</v>
      </c>
      <c r="AK39" s="361"/>
      <c r="AL39" s="361"/>
      <c r="AM39" s="490">
        <f>IF(AJ39=0,0,AB22)</f>
        <v>0</v>
      </c>
      <c r="AN39" s="491"/>
      <c r="AO39" s="492"/>
      <c r="AP39" s="219" t="s">
        <v>44</v>
      </c>
      <c r="AQ39" s="219"/>
      <c r="AR39" s="219"/>
      <c r="AS39" s="226">
        <v>20400</v>
      </c>
      <c r="AT39" s="226"/>
      <c r="AU39" s="226"/>
      <c r="AV39" s="226"/>
      <c r="AW39" s="220">
        <v>4800</v>
      </c>
      <c r="AX39" s="221"/>
      <c r="AY39" s="221"/>
      <c r="AZ39" s="221"/>
      <c r="BA39" s="221"/>
      <c r="BB39" s="221"/>
      <c r="BC39" s="221"/>
      <c r="BD39" s="222"/>
      <c r="BE39" s="226">
        <v>4700</v>
      </c>
      <c r="BF39" s="226"/>
      <c r="BG39" s="226"/>
      <c r="BH39" s="226"/>
      <c r="BM39" s="219"/>
      <c r="BN39" s="219"/>
      <c r="BO39" s="219"/>
      <c r="BP39" s="219"/>
      <c r="BQ39" s="473"/>
      <c r="BR39" s="473"/>
      <c r="BS39" s="473"/>
      <c r="BT39" s="473"/>
      <c r="BU39" s="473"/>
      <c r="BV39" s="473"/>
      <c r="BW39" s="473"/>
      <c r="BX39" s="496"/>
      <c r="BY39" s="496"/>
      <c r="BZ39" s="496"/>
      <c r="CA39" s="252"/>
      <c r="CB39" s="252"/>
      <c r="CC39" s="252"/>
    </row>
    <row r="40" spans="1:116" ht="20.25" customHeight="1" x14ac:dyDescent="0.15">
      <c r="B40" s="218" t="s">
        <v>57</v>
      </c>
      <c r="C40" s="219"/>
      <c r="D40" s="219"/>
      <c r="E40" s="627" t="s">
        <v>48</v>
      </c>
      <c r="F40" s="627"/>
      <c r="G40" s="627"/>
      <c r="H40" s="627"/>
      <c r="I40" s="627"/>
      <c r="J40" s="649" t="s">
        <v>49</v>
      </c>
      <c r="K40" s="164"/>
      <c r="L40" s="164"/>
      <c r="M40" s="164"/>
      <c r="N40" s="164"/>
      <c r="O40" s="164"/>
      <c r="P40" s="165"/>
      <c r="Q40" s="653">
        <f>AS39</f>
        <v>20400</v>
      </c>
      <c r="R40" s="654"/>
      <c r="S40" s="654"/>
      <c r="T40" s="654"/>
      <c r="U40" s="654">
        <f>AW39</f>
        <v>4800</v>
      </c>
      <c r="V40" s="654"/>
      <c r="W40" s="654"/>
      <c r="X40" s="654"/>
      <c r="Y40" s="654">
        <f>BE39</f>
        <v>4700</v>
      </c>
      <c r="Z40" s="654"/>
      <c r="AA40" s="654"/>
      <c r="AB40" s="655"/>
      <c r="AJ40" s="361"/>
      <c r="AK40" s="361"/>
      <c r="AL40" s="361"/>
      <c r="AM40" s="493"/>
      <c r="AN40" s="494"/>
      <c r="AO40" s="495"/>
      <c r="AP40" s="219"/>
      <c r="AQ40" s="219"/>
      <c r="AR40" s="219"/>
      <c r="AS40" s="226"/>
      <c r="AT40" s="226"/>
      <c r="AU40" s="226"/>
      <c r="AV40" s="226"/>
      <c r="AW40" s="223"/>
      <c r="AX40" s="224"/>
      <c r="AY40" s="224"/>
      <c r="AZ40" s="224"/>
      <c r="BA40" s="224"/>
      <c r="BB40" s="224"/>
      <c r="BC40" s="224"/>
      <c r="BD40" s="225"/>
      <c r="BE40" s="226"/>
      <c r="BF40" s="226"/>
      <c r="BG40" s="226"/>
      <c r="BH40" s="226"/>
      <c r="BM40" s="219" t="s">
        <v>71</v>
      </c>
      <c r="BN40" s="219"/>
      <c r="BO40" s="219"/>
      <c r="BP40" s="219"/>
      <c r="BQ40" s="473" t="s">
        <v>77</v>
      </c>
      <c r="BR40" s="473" t="s">
        <v>68</v>
      </c>
      <c r="BS40" s="473" t="s">
        <v>68</v>
      </c>
      <c r="BT40" s="473" t="s">
        <v>68</v>
      </c>
      <c r="BU40" s="473" t="s">
        <v>68</v>
      </c>
      <c r="BV40" s="473" t="s">
        <v>68</v>
      </c>
      <c r="BW40" s="473" t="s">
        <v>68</v>
      </c>
      <c r="BX40" s="496" t="s">
        <v>75</v>
      </c>
      <c r="BY40" s="496"/>
      <c r="BZ40" s="496"/>
      <c r="CA40" s="252">
        <v>520000</v>
      </c>
      <c r="CB40" s="252"/>
      <c r="CC40" s="252"/>
    </row>
    <row r="41" spans="1:116" ht="20.25" customHeight="1" x14ac:dyDescent="0.15">
      <c r="B41" s="218"/>
      <c r="C41" s="219"/>
      <c r="D41" s="219"/>
      <c r="E41" s="627"/>
      <c r="F41" s="627"/>
      <c r="G41" s="627"/>
      <c r="H41" s="627"/>
      <c r="I41" s="627"/>
      <c r="J41" s="164"/>
      <c r="K41" s="164"/>
      <c r="L41" s="164"/>
      <c r="M41" s="164"/>
      <c r="N41" s="164"/>
      <c r="O41" s="164"/>
      <c r="P41" s="165"/>
      <c r="Q41" s="653"/>
      <c r="R41" s="654"/>
      <c r="S41" s="654"/>
      <c r="T41" s="654"/>
      <c r="U41" s="654"/>
      <c r="V41" s="654"/>
      <c r="W41" s="654"/>
      <c r="X41" s="654"/>
      <c r="Y41" s="654"/>
      <c r="Z41" s="654"/>
      <c r="AA41" s="654"/>
      <c r="AB41" s="655"/>
      <c r="AJ41" s="361">
        <f>IF(AND(40&lt;=H24,H24&lt;=64),1,0)</f>
        <v>0</v>
      </c>
      <c r="AK41" s="361"/>
      <c r="AL41" s="361"/>
      <c r="AM41" s="490">
        <f>IF(AJ41=0,0,AB24)</f>
        <v>0</v>
      </c>
      <c r="AN41" s="491"/>
      <c r="AO41" s="492"/>
      <c r="AP41" s="219" t="s">
        <v>47</v>
      </c>
      <c r="AQ41" s="219"/>
      <c r="AR41" s="219"/>
      <c r="AS41" s="226">
        <v>630000</v>
      </c>
      <c r="AT41" s="226"/>
      <c r="AU41" s="226"/>
      <c r="AV41" s="226"/>
      <c r="AW41" s="220">
        <v>190000</v>
      </c>
      <c r="AX41" s="221"/>
      <c r="AY41" s="221"/>
      <c r="AZ41" s="221"/>
      <c r="BA41" s="221"/>
      <c r="BB41" s="221"/>
      <c r="BC41" s="221"/>
      <c r="BD41" s="222"/>
      <c r="BE41" s="226">
        <v>170000</v>
      </c>
      <c r="BF41" s="226"/>
      <c r="BG41" s="226"/>
      <c r="BH41" s="226"/>
      <c r="BM41" s="219"/>
      <c r="BN41" s="219"/>
      <c r="BO41" s="219"/>
      <c r="BP41" s="219"/>
      <c r="BQ41" s="473"/>
      <c r="BR41" s="473"/>
      <c r="BS41" s="473"/>
      <c r="BT41" s="473"/>
      <c r="BU41" s="473"/>
      <c r="BV41" s="473"/>
      <c r="BW41" s="473"/>
      <c r="BX41" s="496"/>
      <c r="BY41" s="496"/>
      <c r="BZ41" s="496"/>
      <c r="CA41" s="252"/>
      <c r="CB41" s="252"/>
      <c r="CC41" s="252"/>
    </row>
    <row r="42" spans="1:116" ht="20.25" customHeight="1" x14ac:dyDescent="0.15">
      <c r="B42" s="218" t="s">
        <v>58</v>
      </c>
      <c r="C42" s="219"/>
      <c r="D42" s="239"/>
      <c r="E42" s="638" t="s">
        <v>60</v>
      </c>
      <c r="F42" s="639"/>
      <c r="G42" s="639"/>
      <c r="H42" s="639"/>
      <c r="I42" s="639"/>
      <c r="J42" s="639"/>
      <c r="K42" s="639"/>
      <c r="L42" s="639"/>
      <c r="M42" s="639"/>
      <c r="N42" s="639"/>
      <c r="O42" s="639"/>
      <c r="P42" s="640"/>
      <c r="Q42" s="644">
        <f>AS41/10000</f>
        <v>63</v>
      </c>
      <c r="R42" s="510"/>
      <c r="S42" s="510"/>
      <c r="T42" s="510"/>
      <c r="U42" s="510">
        <f>AW41/10000</f>
        <v>19</v>
      </c>
      <c r="V42" s="510"/>
      <c r="W42" s="510"/>
      <c r="X42" s="510"/>
      <c r="Y42" s="510">
        <f>BE41/10000</f>
        <v>17</v>
      </c>
      <c r="Z42" s="510"/>
      <c r="AA42" s="510"/>
      <c r="AB42" s="646"/>
      <c r="AJ42" s="497"/>
      <c r="AK42" s="497"/>
      <c r="AL42" s="497"/>
      <c r="AM42" s="498"/>
      <c r="AN42" s="499"/>
      <c r="AO42" s="500"/>
      <c r="AP42" s="219"/>
      <c r="AQ42" s="219"/>
      <c r="AR42" s="219"/>
      <c r="AS42" s="226"/>
      <c r="AT42" s="226"/>
      <c r="AU42" s="226"/>
      <c r="AV42" s="226"/>
      <c r="AW42" s="223"/>
      <c r="AX42" s="224"/>
      <c r="AY42" s="224"/>
      <c r="AZ42" s="224"/>
      <c r="BA42" s="224"/>
      <c r="BB42" s="224"/>
      <c r="BC42" s="224"/>
      <c r="BD42" s="225"/>
      <c r="BE42" s="226"/>
      <c r="BF42" s="226"/>
      <c r="BG42" s="226"/>
      <c r="BH42" s="226"/>
      <c r="BM42" s="219"/>
      <c r="BN42" s="219"/>
      <c r="BO42" s="219"/>
      <c r="BP42" s="219"/>
      <c r="BQ42" s="473"/>
      <c r="BR42" s="473"/>
      <c r="BS42" s="473"/>
      <c r="BT42" s="473"/>
      <c r="BU42" s="473"/>
      <c r="BV42" s="473"/>
      <c r="BW42" s="473"/>
      <c r="BX42" s="496"/>
      <c r="BY42" s="496"/>
      <c r="BZ42" s="496"/>
      <c r="CA42" s="252"/>
      <c r="CB42" s="252"/>
      <c r="CC42" s="252"/>
    </row>
    <row r="43" spans="1:116" ht="20.25" customHeight="1" thickBot="1" x14ac:dyDescent="0.2">
      <c r="B43" s="544"/>
      <c r="C43" s="422"/>
      <c r="D43" s="545"/>
      <c r="E43" s="641"/>
      <c r="F43" s="642"/>
      <c r="G43" s="642"/>
      <c r="H43" s="642"/>
      <c r="I43" s="642"/>
      <c r="J43" s="642"/>
      <c r="K43" s="642"/>
      <c r="L43" s="642"/>
      <c r="M43" s="642"/>
      <c r="N43" s="642"/>
      <c r="O43" s="642"/>
      <c r="P43" s="643"/>
      <c r="Q43" s="645"/>
      <c r="R43" s="512"/>
      <c r="S43" s="512"/>
      <c r="T43" s="512"/>
      <c r="U43" s="512"/>
      <c r="V43" s="512"/>
      <c r="W43" s="512"/>
      <c r="X43" s="512"/>
      <c r="Y43" s="512"/>
      <c r="Z43" s="512"/>
      <c r="AA43" s="512"/>
      <c r="AB43" s="647"/>
      <c r="AJ43" s="361">
        <f>IF(AND(40&lt;=H26,H26&lt;=64),1,0)</f>
        <v>0</v>
      </c>
      <c r="AK43" s="361"/>
      <c r="AL43" s="361"/>
      <c r="AM43" s="490">
        <f>IF(AJ43=0,0,AB26)</f>
        <v>0</v>
      </c>
      <c r="AN43" s="491"/>
      <c r="AO43" s="492"/>
      <c r="AP43" s="13"/>
      <c r="BM43" s="546"/>
      <c r="BN43" s="546"/>
      <c r="BO43" s="546"/>
      <c r="BP43" s="546"/>
      <c r="BQ43" s="547"/>
      <c r="BR43" s="547"/>
      <c r="BS43" s="547"/>
      <c r="BT43" s="547"/>
      <c r="BU43" s="547"/>
      <c r="BV43" s="547"/>
      <c r="BW43" s="547"/>
      <c r="BX43" s="575"/>
      <c r="BY43" s="575"/>
      <c r="BZ43" s="575"/>
    </row>
    <row r="44" spans="1:116" ht="20.25" customHeight="1" thickBot="1" x14ac:dyDescent="0.2">
      <c r="AH44" s="15"/>
      <c r="AJ44" s="497"/>
      <c r="AK44" s="497"/>
      <c r="AL44" s="497"/>
      <c r="AM44" s="498"/>
      <c r="AN44" s="499"/>
      <c r="AO44" s="500"/>
      <c r="AP44" s="13"/>
    </row>
    <row r="45" spans="1:116" ht="20.25" customHeight="1" thickBot="1" x14ac:dyDescent="0.2">
      <c r="B45" s="12" t="s">
        <v>50</v>
      </c>
      <c r="AJ45" s="561">
        <f>SUM(AJ35:AL44)</f>
        <v>0</v>
      </c>
      <c r="AK45" s="562"/>
      <c r="AL45" s="563"/>
      <c r="AM45" s="567">
        <f>SUM(AM35:AO44)</f>
        <v>0</v>
      </c>
      <c r="AN45" s="568"/>
      <c r="AO45" s="569"/>
    </row>
    <row r="46" spans="1:116" ht="19.5" customHeight="1" thickBot="1" x14ac:dyDescent="0.2">
      <c r="B46" s="487"/>
      <c r="C46" s="488"/>
      <c r="D46" s="489"/>
      <c r="E46" s="525" t="s">
        <v>37</v>
      </c>
      <c r="F46" s="152"/>
      <c r="G46" s="153"/>
      <c r="H46" s="151" t="s">
        <v>38</v>
      </c>
      <c r="I46" s="152"/>
      <c r="J46" s="153"/>
      <c r="K46" s="151" t="s">
        <v>39</v>
      </c>
      <c r="L46" s="152"/>
      <c r="M46" s="152"/>
      <c r="N46" s="693" t="s">
        <v>51</v>
      </c>
      <c r="O46" s="694"/>
      <c r="P46" s="695"/>
      <c r="R46" s="12" t="str">
        <f>"令和"&amp;BD32&amp;"年度"</f>
        <v>令和3年度</v>
      </c>
      <c r="AJ46" s="564"/>
      <c r="AK46" s="565"/>
      <c r="AL46" s="566"/>
      <c r="AM46" s="570"/>
      <c r="AN46" s="571"/>
      <c r="AO46" s="572"/>
    </row>
    <row r="47" spans="1:116" ht="20.25" customHeight="1" x14ac:dyDescent="0.15">
      <c r="B47" s="656" t="s">
        <v>55</v>
      </c>
      <c r="C47" s="657"/>
      <c r="D47" s="658"/>
      <c r="E47" s="539">
        <f>IF($O$30&lt;0,0,$O$30*AS35)</f>
        <v>0</v>
      </c>
      <c r="F47" s="540"/>
      <c r="G47" s="540"/>
      <c r="H47" s="541">
        <f>IF($O$30&lt;0,0,$O$30*AW35)</f>
        <v>0</v>
      </c>
      <c r="I47" s="542"/>
      <c r="J47" s="543"/>
      <c r="K47" s="540">
        <f>IF(AJ45=0,0,IF($AM$45&lt;=0,0,$AM$45*BE35))</f>
        <v>0</v>
      </c>
      <c r="L47" s="540"/>
      <c r="M47" s="541"/>
      <c r="N47" s="660">
        <f>SUM(E47:M47)</f>
        <v>0</v>
      </c>
      <c r="O47" s="116"/>
      <c r="P47" s="117"/>
      <c r="R47" s="12" t="s">
        <v>52</v>
      </c>
      <c r="S47" s="16"/>
      <c r="T47" s="16"/>
      <c r="U47" s="16"/>
      <c r="V47" s="16"/>
      <c r="W47" s="16"/>
      <c r="X47" s="16"/>
      <c r="Y47" s="16"/>
      <c r="Z47" s="16"/>
      <c r="AA47" s="16"/>
    </row>
    <row r="48" spans="1:116" ht="18.75" customHeight="1" x14ac:dyDescent="0.15">
      <c r="A48" s="2" t="str">
        <f>IF(OR(E10="※",E11="※",E12="※"),"※","")</f>
        <v>※</v>
      </c>
      <c r="B48" s="163" t="s">
        <v>56</v>
      </c>
      <c r="C48" s="164"/>
      <c r="D48" s="165"/>
      <c r="E48" s="166">
        <f>IF($F$30&lt;0,0,$F$30*AS37)</f>
        <v>124000</v>
      </c>
      <c r="F48" s="167"/>
      <c r="G48" s="167"/>
      <c r="H48" s="168">
        <f>IF($F$30&lt;0,0,$F$30*AW37)</f>
        <v>42000</v>
      </c>
      <c r="I48" s="169"/>
      <c r="J48" s="170"/>
      <c r="K48" s="167">
        <f>IF(AJ45=0,0,AJ45*BE37)</f>
        <v>0</v>
      </c>
      <c r="L48" s="167"/>
      <c r="M48" s="168"/>
      <c r="N48" s="648">
        <f>SUM(E48:M48)</f>
        <v>166000</v>
      </c>
      <c r="O48" s="119"/>
      <c r="P48" s="120"/>
      <c r="U48" s="502">
        <f>N51</f>
        <v>191200</v>
      </c>
      <c r="V48" s="503"/>
      <c r="W48" s="503"/>
      <c r="X48" s="503"/>
      <c r="Y48" s="503"/>
      <c r="Z48" s="154" t="s">
        <v>53</v>
      </c>
      <c r="AA48" s="154"/>
      <c r="AB48" s="154"/>
      <c r="AC48" s="154"/>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row>
    <row r="49" spans="1:116" ht="18.75" customHeight="1" thickBot="1" x14ac:dyDescent="0.2">
      <c r="A49" s="2" t="str">
        <f>IF(OR(E10="※",E11="※",E12="※"),"※","")</f>
        <v>※</v>
      </c>
      <c r="B49" s="155" t="s">
        <v>57</v>
      </c>
      <c r="C49" s="156"/>
      <c r="D49" s="157"/>
      <c r="E49" s="158">
        <f>IF($F$30=0,0,AS39)</f>
        <v>20400</v>
      </c>
      <c r="F49" s="159"/>
      <c r="G49" s="159"/>
      <c r="H49" s="160">
        <f>IF($F$30=0,0,AW39)</f>
        <v>4800</v>
      </c>
      <c r="I49" s="161"/>
      <c r="J49" s="162"/>
      <c r="K49" s="159">
        <f>IF(AJ45=0,0,BE39)</f>
        <v>0</v>
      </c>
      <c r="L49" s="159"/>
      <c r="M49" s="160"/>
      <c r="N49" s="659">
        <f>SUM(E49:M49)</f>
        <v>25200</v>
      </c>
      <c r="O49" s="122"/>
      <c r="P49" s="123"/>
      <c r="U49" s="504"/>
      <c r="V49" s="504"/>
      <c r="W49" s="504"/>
      <c r="X49" s="504"/>
      <c r="Y49" s="504"/>
      <c r="Z49" s="154"/>
      <c r="AA49" s="154"/>
      <c r="AB49" s="154"/>
      <c r="AC49" s="154"/>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row>
    <row r="50" spans="1:116" ht="18.75" customHeight="1" thickTop="1" thickBot="1" x14ac:dyDescent="0.2">
      <c r="B50" s="106" t="s">
        <v>51</v>
      </c>
      <c r="C50" s="661"/>
      <c r="D50" s="662"/>
      <c r="E50" s="663">
        <f>SUM(E47:G49)</f>
        <v>144400</v>
      </c>
      <c r="F50" s="664"/>
      <c r="G50" s="665"/>
      <c r="H50" s="666">
        <f>SUM(H47:J49)</f>
        <v>46800</v>
      </c>
      <c r="I50" s="667"/>
      <c r="J50" s="668"/>
      <c r="K50" s="669">
        <f>SUM(K47:M49)</f>
        <v>0</v>
      </c>
      <c r="L50" s="664"/>
      <c r="M50" s="664"/>
      <c r="N50" s="670">
        <f>SUM(E50:M50)</f>
        <v>191200</v>
      </c>
      <c r="O50" s="125"/>
      <c r="P50" s="126"/>
      <c r="U50" s="17" t="str">
        <f>"（ひと月あたり　　約 "&amp;TEXT(ROUNDUP(U48/12,-3),"#,##0"&amp;"円）")</f>
        <v>（ひと月あたり　　約 16,000円)</v>
      </c>
      <c r="V50" s="17"/>
      <c r="W50" s="17"/>
      <c r="X50" s="17"/>
      <c r="Y50" s="17"/>
      <c r="Z50" s="17"/>
      <c r="AA50" s="17"/>
      <c r="AB50" s="17"/>
      <c r="AC50" s="22"/>
      <c r="AD50" s="22"/>
    </row>
    <row r="51" spans="1:116" ht="18.75" customHeight="1" x14ac:dyDescent="0.15">
      <c r="B51" s="103" t="s">
        <v>54</v>
      </c>
      <c r="C51" s="104"/>
      <c r="D51" s="105"/>
      <c r="E51" s="671">
        <f>IF(E50&gt;AS41,AS41,ROUNDDOWN(E50,-2))</f>
        <v>144400</v>
      </c>
      <c r="F51" s="672"/>
      <c r="G51" s="673"/>
      <c r="H51" s="680">
        <f>IF(H50&gt;AW41,AW41,ROUNDDOWN(H50,-2))</f>
        <v>46800</v>
      </c>
      <c r="I51" s="672"/>
      <c r="J51" s="673"/>
      <c r="K51" s="680">
        <f>IF(K50&gt;BE41,BE41,ROUNDDOWN(K50,-2))</f>
        <v>0</v>
      </c>
      <c r="L51" s="672"/>
      <c r="M51" s="672"/>
      <c r="N51" s="683">
        <f>SUM(E51:M51)</f>
        <v>191200</v>
      </c>
      <c r="O51" s="684"/>
      <c r="P51" s="685"/>
      <c r="U51" s="17"/>
      <c r="V51" s="17"/>
      <c r="W51" s="17"/>
      <c r="X51" s="17"/>
      <c r="Y51" s="17"/>
      <c r="Z51" s="17"/>
      <c r="AA51" s="17"/>
      <c r="AB51" s="17"/>
      <c r="AC51" s="22"/>
      <c r="AD51" s="22"/>
    </row>
    <row r="52" spans="1:116" ht="18.75" customHeight="1" x14ac:dyDescent="0.15">
      <c r="B52" s="106"/>
      <c r="C52" s="107"/>
      <c r="D52" s="108"/>
      <c r="E52" s="674"/>
      <c r="F52" s="675"/>
      <c r="G52" s="676"/>
      <c r="H52" s="681"/>
      <c r="I52" s="675"/>
      <c r="J52" s="676"/>
      <c r="K52" s="681"/>
      <c r="L52" s="675"/>
      <c r="M52" s="675"/>
      <c r="N52" s="686"/>
      <c r="O52" s="687"/>
      <c r="P52" s="688"/>
      <c r="R52" s="692" t="s">
        <v>59</v>
      </c>
      <c r="S52" s="692"/>
      <c r="T52" s="692"/>
      <c r="U52" s="692"/>
      <c r="V52" s="692"/>
      <c r="W52" s="692"/>
      <c r="X52" s="692"/>
      <c r="Y52" s="692"/>
      <c r="Z52" s="692"/>
      <c r="AA52" s="692"/>
      <c r="AB52" s="692"/>
      <c r="AC52" s="692"/>
      <c r="AD52" s="692"/>
      <c r="AE52" s="17"/>
    </row>
    <row r="53" spans="1:116" ht="18.75" customHeight="1" thickBot="1" x14ac:dyDescent="0.2">
      <c r="B53" s="109"/>
      <c r="C53" s="110"/>
      <c r="D53" s="111"/>
      <c r="E53" s="677"/>
      <c r="F53" s="678"/>
      <c r="G53" s="679"/>
      <c r="H53" s="682"/>
      <c r="I53" s="678"/>
      <c r="J53" s="679"/>
      <c r="K53" s="682"/>
      <c r="L53" s="678"/>
      <c r="M53" s="678"/>
      <c r="N53" s="689"/>
      <c r="O53" s="690"/>
      <c r="P53" s="691"/>
      <c r="Q53" s="18"/>
      <c r="R53" s="692"/>
      <c r="S53" s="692"/>
      <c r="T53" s="692"/>
      <c r="U53" s="692"/>
      <c r="V53" s="692"/>
      <c r="W53" s="692"/>
      <c r="X53" s="692"/>
      <c r="Y53" s="692"/>
      <c r="Z53" s="692"/>
      <c r="AA53" s="692"/>
      <c r="AB53" s="692"/>
      <c r="AC53" s="692"/>
      <c r="AD53" s="692"/>
      <c r="AE53" s="17"/>
    </row>
    <row r="54" spans="1:116" ht="18.75" customHeight="1" x14ac:dyDescent="0.15">
      <c r="Q54" s="18"/>
      <c r="R54" s="692"/>
      <c r="S54" s="692"/>
      <c r="T54" s="692"/>
      <c r="U54" s="692"/>
      <c r="V54" s="692"/>
      <c r="W54" s="692"/>
      <c r="X54" s="692"/>
      <c r="Y54" s="692"/>
      <c r="Z54" s="692"/>
      <c r="AA54" s="692"/>
      <c r="AB54" s="692"/>
      <c r="AC54" s="692"/>
      <c r="AD54" s="692"/>
      <c r="AE54" s="17"/>
    </row>
    <row r="55" spans="1:116" ht="18.75" customHeight="1" x14ac:dyDescent="0.15">
      <c r="AC55" s="18"/>
      <c r="AD55" s="18"/>
      <c r="AE55" s="17"/>
    </row>
    <row r="56" spans="1:116" ht="18.75" customHeight="1" x14ac:dyDescent="0.15">
      <c r="AC56" s="18"/>
      <c r="AD56" s="18"/>
      <c r="AE56" s="19"/>
      <c r="AF56" s="19"/>
    </row>
    <row r="57" spans="1:116" ht="26.25" customHeight="1" x14ac:dyDescent="0.15">
      <c r="AC57" s="19"/>
      <c r="AD57" s="19"/>
      <c r="AE57" s="19"/>
      <c r="AF57" s="19"/>
    </row>
  </sheetData>
  <mergeCells count="484">
    <mergeCell ref="R52:AD54"/>
    <mergeCell ref="B50:D50"/>
    <mergeCell ref="E50:G50"/>
    <mergeCell ref="H50:J50"/>
    <mergeCell ref="K50:M50"/>
    <mergeCell ref="N50:P50"/>
    <mergeCell ref="B51:D53"/>
    <mergeCell ref="E51:G53"/>
    <mergeCell ref="H51:J53"/>
    <mergeCell ref="K51:M53"/>
    <mergeCell ref="N51:P53"/>
    <mergeCell ref="B47:D47"/>
    <mergeCell ref="E47:G47"/>
    <mergeCell ref="H47:J47"/>
    <mergeCell ref="K47:M47"/>
    <mergeCell ref="N47:P47"/>
    <mergeCell ref="Z48:AC49"/>
    <mergeCell ref="B49:D49"/>
    <mergeCell ref="E49:G49"/>
    <mergeCell ref="H49:J49"/>
    <mergeCell ref="K49:M49"/>
    <mergeCell ref="N49:P49"/>
    <mergeCell ref="B48:D48"/>
    <mergeCell ref="E48:G48"/>
    <mergeCell ref="H48:J48"/>
    <mergeCell ref="K48:M48"/>
    <mergeCell ref="N48:P48"/>
    <mergeCell ref="U48:Y49"/>
    <mergeCell ref="BX43:BZ43"/>
    <mergeCell ref="AJ45:AL46"/>
    <mergeCell ref="AM45:AO46"/>
    <mergeCell ref="B42:D43"/>
    <mergeCell ref="E42:P43"/>
    <mergeCell ref="Q42:T43"/>
    <mergeCell ref="U42:X43"/>
    <mergeCell ref="Y42:AB43"/>
    <mergeCell ref="AJ43:AL44"/>
    <mergeCell ref="BQ40:BW42"/>
    <mergeCell ref="BX40:BZ42"/>
    <mergeCell ref="B46:D46"/>
    <mergeCell ref="E46:G46"/>
    <mergeCell ref="H46:J46"/>
    <mergeCell ref="K46:M46"/>
    <mergeCell ref="N46:P46"/>
    <mergeCell ref="B40:D41"/>
    <mergeCell ref="E40:I41"/>
    <mergeCell ref="J40:P41"/>
    <mergeCell ref="Q40:T41"/>
    <mergeCell ref="U40:X41"/>
    <mergeCell ref="Y40:AB41"/>
    <mergeCell ref="AM43:AO44"/>
    <mergeCell ref="BM43:BP43"/>
    <mergeCell ref="BQ43:BW43"/>
    <mergeCell ref="BM40:BP42"/>
    <mergeCell ref="Q36:T37"/>
    <mergeCell ref="U36:X37"/>
    <mergeCell ref="Y36:AB37"/>
    <mergeCell ref="AJ37:AL38"/>
    <mergeCell ref="CA40:CC42"/>
    <mergeCell ref="AJ41:AL42"/>
    <mergeCell ref="AM41:AO42"/>
    <mergeCell ref="AP41:AR42"/>
    <mergeCell ref="AS41:AV42"/>
    <mergeCell ref="AW41:BD42"/>
    <mergeCell ref="BE41:BH42"/>
    <mergeCell ref="AJ35:AL36"/>
    <mergeCell ref="AM35:AO36"/>
    <mergeCell ref="AP35:AR36"/>
    <mergeCell ref="AS35:AV36"/>
    <mergeCell ref="AW35:BD36"/>
    <mergeCell ref="CA37:CC39"/>
    <mergeCell ref="AS37:AV38"/>
    <mergeCell ref="AW37:BD38"/>
    <mergeCell ref="BE37:BH38"/>
    <mergeCell ref="BM37:BP39"/>
    <mergeCell ref="BQ37:BW39"/>
    <mergeCell ref="BX37:BZ39"/>
    <mergeCell ref="AS39:AV40"/>
    <mergeCell ref="AW39:BD40"/>
    <mergeCell ref="BE39:BH40"/>
    <mergeCell ref="DF32:DH32"/>
    <mergeCell ref="DI32:DK32"/>
    <mergeCell ref="AJ33:AL34"/>
    <mergeCell ref="AM33:AO34"/>
    <mergeCell ref="AP33:AR34"/>
    <mergeCell ref="AS33:BH33"/>
    <mergeCell ref="BQ34:BW36"/>
    <mergeCell ref="BX34:BZ36"/>
    <mergeCell ref="CA34:CC36"/>
    <mergeCell ref="AJ39:AL40"/>
    <mergeCell ref="AM39:AO40"/>
    <mergeCell ref="AP39:AR40"/>
    <mergeCell ref="B34:P35"/>
    <mergeCell ref="Q34:AB34"/>
    <mergeCell ref="AS34:AV34"/>
    <mergeCell ref="AW34:BD34"/>
    <mergeCell ref="BE34:BH34"/>
    <mergeCell ref="BM34:BP36"/>
    <mergeCell ref="BE35:BH36"/>
    <mergeCell ref="B36:D37"/>
    <mergeCell ref="E36:I37"/>
    <mergeCell ref="J36:P37"/>
    <mergeCell ref="AM37:AO38"/>
    <mergeCell ref="AP37:AR38"/>
    <mergeCell ref="Q35:T35"/>
    <mergeCell ref="U35:X35"/>
    <mergeCell ref="Y35:AB35"/>
    <mergeCell ref="B38:D39"/>
    <mergeCell ref="E38:I39"/>
    <mergeCell ref="J38:P39"/>
    <mergeCell ref="Q38:T39"/>
    <mergeCell ref="U38:X39"/>
    <mergeCell ref="Y38:AB39"/>
    <mergeCell ref="V32:Z32"/>
    <mergeCell ref="AS32:BC32"/>
    <mergeCell ref="BD32:BK32"/>
    <mergeCell ref="CK32:CM32"/>
    <mergeCell ref="CO32:CQ32"/>
    <mergeCell ref="CR32:CV32"/>
    <mergeCell ref="DI30:DK30"/>
    <mergeCell ref="CK31:CM31"/>
    <mergeCell ref="CO31:CQ31"/>
    <mergeCell ref="CR31:CV31"/>
    <mergeCell ref="CW31:CY31"/>
    <mergeCell ref="CZ31:DB31"/>
    <mergeCell ref="DC31:DE31"/>
    <mergeCell ref="DF31:DH31"/>
    <mergeCell ref="DI31:DK31"/>
    <mergeCell ref="CO30:CQ30"/>
    <mergeCell ref="CR30:CV30"/>
    <mergeCell ref="CW30:CY30"/>
    <mergeCell ref="CZ30:DB30"/>
    <mergeCell ref="DC30:DE30"/>
    <mergeCell ref="DF30:DH30"/>
    <mergeCell ref="CW32:CY32"/>
    <mergeCell ref="CZ32:DB32"/>
    <mergeCell ref="DC32:DE32"/>
    <mergeCell ref="DI28:DK28"/>
    <mergeCell ref="CK29:CM29"/>
    <mergeCell ref="CO29:CQ29"/>
    <mergeCell ref="CR29:CV29"/>
    <mergeCell ref="CW29:CY29"/>
    <mergeCell ref="CZ29:DB29"/>
    <mergeCell ref="DC29:DE29"/>
    <mergeCell ref="DF29:DH29"/>
    <mergeCell ref="DI29:DK29"/>
    <mergeCell ref="CR27:CV27"/>
    <mergeCell ref="CW27:CY27"/>
    <mergeCell ref="CZ27:DB27"/>
    <mergeCell ref="DC27:DE27"/>
    <mergeCell ref="DF27:DH27"/>
    <mergeCell ref="B30:E31"/>
    <mergeCell ref="F30:G31"/>
    <mergeCell ref="H30:H31"/>
    <mergeCell ref="I30:N31"/>
    <mergeCell ref="O30:R31"/>
    <mergeCell ref="S30:S31"/>
    <mergeCell ref="DF28:DH28"/>
    <mergeCell ref="AP28:AS28"/>
    <mergeCell ref="AT28:AW28"/>
    <mergeCell ref="AX28:BA28"/>
    <mergeCell ref="CK28:CM28"/>
    <mergeCell ref="CO28:CQ28"/>
    <mergeCell ref="CR28:CV28"/>
    <mergeCell ref="CW28:CY28"/>
    <mergeCell ref="CZ28:DB28"/>
    <mergeCell ref="DC28:DE28"/>
    <mergeCell ref="AO26:AO27"/>
    <mergeCell ref="AP26:AS27"/>
    <mergeCell ref="AT26:AW27"/>
    <mergeCell ref="DI26:DK26"/>
    <mergeCell ref="BC27:BE27"/>
    <mergeCell ref="BG27:BI27"/>
    <mergeCell ref="BJ27:BR27"/>
    <mergeCell ref="BS27:BU27"/>
    <mergeCell ref="BV27:BX27"/>
    <mergeCell ref="BY27:CA27"/>
    <mergeCell ref="CB27:CD27"/>
    <mergeCell ref="CE27:CG27"/>
    <mergeCell ref="CK27:CM27"/>
    <mergeCell ref="CO26:CQ26"/>
    <mergeCell ref="CR26:CV26"/>
    <mergeCell ref="CW26:CY26"/>
    <mergeCell ref="CZ26:DB26"/>
    <mergeCell ref="DC26:DE26"/>
    <mergeCell ref="DF26:DH26"/>
    <mergeCell ref="BJ26:BR26"/>
    <mergeCell ref="BS26:BU26"/>
    <mergeCell ref="BV26:BX26"/>
    <mergeCell ref="BY26:CA26"/>
    <mergeCell ref="CB26:CD26"/>
    <mergeCell ref="CE26:CG26"/>
    <mergeCell ref="DI27:DK27"/>
    <mergeCell ref="CO27:CQ27"/>
    <mergeCell ref="AX26:BA27"/>
    <mergeCell ref="BC26:BE26"/>
    <mergeCell ref="BG26:BI26"/>
    <mergeCell ref="AB26:AD27"/>
    <mergeCell ref="AJ26:AJ27"/>
    <mergeCell ref="AK26:AK27"/>
    <mergeCell ref="AL26:AL27"/>
    <mergeCell ref="AM26:AM27"/>
    <mergeCell ref="AN26:AN27"/>
    <mergeCell ref="DI25:DK25"/>
    <mergeCell ref="B26:D27"/>
    <mergeCell ref="E26:F27"/>
    <mergeCell ref="G26:G27"/>
    <mergeCell ref="H26:I27"/>
    <mergeCell ref="J26:J27"/>
    <mergeCell ref="K26:N27"/>
    <mergeCell ref="P26:S27"/>
    <mergeCell ref="U26:V27"/>
    <mergeCell ref="X26:Z27"/>
    <mergeCell ref="CO25:CQ25"/>
    <mergeCell ref="CR25:CV25"/>
    <mergeCell ref="CW25:CY25"/>
    <mergeCell ref="CZ25:DB25"/>
    <mergeCell ref="DC25:DE25"/>
    <mergeCell ref="DF25:DH25"/>
    <mergeCell ref="BV25:BX25"/>
    <mergeCell ref="BY25:CA25"/>
    <mergeCell ref="CB25:CD25"/>
    <mergeCell ref="CE25:CG25"/>
    <mergeCell ref="CI25:CJ32"/>
    <mergeCell ref="CK25:CM25"/>
    <mergeCell ref="CK26:CM26"/>
    <mergeCell ref="CK30:CM30"/>
    <mergeCell ref="CR24:CV24"/>
    <mergeCell ref="CW24:CY24"/>
    <mergeCell ref="CZ24:DB24"/>
    <mergeCell ref="DC24:DE24"/>
    <mergeCell ref="DF24:DH24"/>
    <mergeCell ref="DI24:DK24"/>
    <mergeCell ref="BV24:BX24"/>
    <mergeCell ref="BY24:CA24"/>
    <mergeCell ref="CB24:CD24"/>
    <mergeCell ref="CE24:CG24"/>
    <mergeCell ref="CK24:CM24"/>
    <mergeCell ref="CO24:CQ24"/>
    <mergeCell ref="AT24:AW25"/>
    <mergeCell ref="AX24:BA25"/>
    <mergeCell ref="BC24:BE24"/>
    <mergeCell ref="BG24:BI24"/>
    <mergeCell ref="BJ24:BR24"/>
    <mergeCell ref="BS24:BU24"/>
    <mergeCell ref="BC25:BE25"/>
    <mergeCell ref="BG25:BI25"/>
    <mergeCell ref="BJ25:BR25"/>
    <mergeCell ref="BS25:BU25"/>
    <mergeCell ref="AN24:AN25"/>
    <mergeCell ref="AO24:AO25"/>
    <mergeCell ref="AP24:AS25"/>
    <mergeCell ref="K24:N25"/>
    <mergeCell ref="P24:S25"/>
    <mergeCell ref="U24:V25"/>
    <mergeCell ref="X24:Z25"/>
    <mergeCell ref="AB24:AD25"/>
    <mergeCell ref="AJ24:AJ25"/>
    <mergeCell ref="DF23:DH23"/>
    <mergeCell ref="DI23:DK23"/>
    <mergeCell ref="B24:D25"/>
    <mergeCell ref="E24:F25"/>
    <mergeCell ref="G24:G25"/>
    <mergeCell ref="H24:I25"/>
    <mergeCell ref="J24:J25"/>
    <mergeCell ref="BY23:CA23"/>
    <mergeCell ref="CB23:CD23"/>
    <mergeCell ref="CE23:CG23"/>
    <mergeCell ref="CK23:CM23"/>
    <mergeCell ref="CO23:CQ23"/>
    <mergeCell ref="CR23:CV23"/>
    <mergeCell ref="AX22:BA23"/>
    <mergeCell ref="AL22:AL23"/>
    <mergeCell ref="AM22:AM23"/>
    <mergeCell ref="AN22:AN23"/>
    <mergeCell ref="AO22:AO23"/>
    <mergeCell ref="AP22:AS23"/>
    <mergeCell ref="AT22:AW23"/>
    <mergeCell ref="P22:S23"/>
    <mergeCell ref="AK24:AK25"/>
    <mergeCell ref="AL24:AL25"/>
    <mergeCell ref="AM24:AM25"/>
    <mergeCell ref="CR22:CV22"/>
    <mergeCell ref="BC22:BE22"/>
    <mergeCell ref="BG22:BI22"/>
    <mergeCell ref="BJ22:BR22"/>
    <mergeCell ref="BS22:BU22"/>
    <mergeCell ref="BV22:BX22"/>
    <mergeCell ref="CW23:CY23"/>
    <mergeCell ref="CZ23:DB23"/>
    <mergeCell ref="DC23:DE23"/>
    <mergeCell ref="AJ22:AJ23"/>
    <mergeCell ref="AK22:AK23"/>
    <mergeCell ref="CZ21:DB21"/>
    <mergeCell ref="DC21:DE21"/>
    <mergeCell ref="DF21:DH21"/>
    <mergeCell ref="DI21:DK21"/>
    <mergeCell ref="CO21:CQ21"/>
    <mergeCell ref="CR21:CV21"/>
    <mergeCell ref="CW21:CY21"/>
    <mergeCell ref="CW22:CY22"/>
    <mergeCell ref="CZ22:DB22"/>
    <mergeCell ref="DC22:DE22"/>
    <mergeCell ref="DF22:DH22"/>
    <mergeCell ref="DI22:DK22"/>
    <mergeCell ref="BC23:BE23"/>
    <mergeCell ref="BG23:BI23"/>
    <mergeCell ref="BJ23:BR23"/>
    <mergeCell ref="BS23:BU23"/>
    <mergeCell ref="BV23:BX23"/>
    <mergeCell ref="BY22:CA22"/>
    <mergeCell ref="CB22:CD22"/>
    <mergeCell ref="CE22:CG22"/>
    <mergeCell ref="CK22:CM22"/>
    <mergeCell ref="CO22:CQ22"/>
    <mergeCell ref="B22:D23"/>
    <mergeCell ref="E22:F23"/>
    <mergeCell ref="G22:G23"/>
    <mergeCell ref="H22:I23"/>
    <mergeCell ref="J22:J23"/>
    <mergeCell ref="K22:N23"/>
    <mergeCell ref="CB21:CD21"/>
    <mergeCell ref="CE21:CG21"/>
    <mergeCell ref="CK21:CM21"/>
    <mergeCell ref="AM20:AM21"/>
    <mergeCell ref="AN20:AN21"/>
    <mergeCell ref="AO20:AO21"/>
    <mergeCell ref="AP20:AS21"/>
    <mergeCell ref="AT20:AW21"/>
    <mergeCell ref="AX20:BA21"/>
    <mergeCell ref="U20:V21"/>
    <mergeCell ref="X20:Z21"/>
    <mergeCell ref="AB20:AD21"/>
    <mergeCell ref="AJ20:AJ21"/>
    <mergeCell ref="AK20:AK21"/>
    <mergeCell ref="AL20:AL21"/>
    <mergeCell ref="U22:V23"/>
    <mergeCell ref="X22:Z23"/>
    <mergeCell ref="AB22:AD23"/>
    <mergeCell ref="DC20:DE20"/>
    <mergeCell ref="DF20:DH20"/>
    <mergeCell ref="DI20:DK20"/>
    <mergeCell ref="BC21:BE21"/>
    <mergeCell ref="BG21:BI21"/>
    <mergeCell ref="BJ21:BR21"/>
    <mergeCell ref="BS21:BU21"/>
    <mergeCell ref="BV21:BX21"/>
    <mergeCell ref="BY21:CA21"/>
    <mergeCell ref="CB20:CD20"/>
    <mergeCell ref="CE20:CG20"/>
    <mergeCell ref="CK20:CM20"/>
    <mergeCell ref="CO20:CQ20"/>
    <mergeCell ref="CR20:CV20"/>
    <mergeCell ref="CW20:CY20"/>
    <mergeCell ref="BC20:BE20"/>
    <mergeCell ref="BG20:BI20"/>
    <mergeCell ref="BJ20:BR20"/>
    <mergeCell ref="BS20:BU20"/>
    <mergeCell ref="BV20:BX20"/>
    <mergeCell ref="BY20:CA20"/>
    <mergeCell ref="DF19:DH19"/>
    <mergeCell ref="DI19:DK19"/>
    <mergeCell ref="B20:D21"/>
    <mergeCell ref="E20:F21"/>
    <mergeCell ref="G20:G21"/>
    <mergeCell ref="H20:I21"/>
    <mergeCell ref="J20:J21"/>
    <mergeCell ref="K20:N21"/>
    <mergeCell ref="P20:S21"/>
    <mergeCell ref="CE19:CG19"/>
    <mergeCell ref="CK19:CM19"/>
    <mergeCell ref="CO19:CQ19"/>
    <mergeCell ref="CR19:CV19"/>
    <mergeCell ref="CW19:CY19"/>
    <mergeCell ref="CZ19:DB19"/>
    <mergeCell ref="AN18:AN19"/>
    <mergeCell ref="AO18:AO19"/>
    <mergeCell ref="AP18:AS19"/>
    <mergeCell ref="AT18:AW19"/>
    <mergeCell ref="AX18:BA19"/>
    <mergeCell ref="X18:Z19"/>
    <mergeCell ref="AB18:AD19"/>
    <mergeCell ref="AJ18:AJ19"/>
    <mergeCell ref="CZ20:DB20"/>
    <mergeCell ref="DC18:DE18"/>
    <mergeCell ref="DF18:DH18"/>
    <mergeCell ref="DI18:DK18"/>
    <mergeCell ref="BC19:BE19"/>
    <mergeCell ref="BG19:BI19"/>
    <mergeCell ref="BJ19:BR19"/>
    <mergeCell ref="BS19:BU19"/>
    <mergeCell ref="BV19:BX19"/>
    <mergeCell ref="BY19:CA19"/>
    <mergeCell ref="CB19:CD19"/>
    <mergeCell ref="CE18:CG18"/>
    <mergeCell ref="CK18:CM18"/>
    <mergeCell ref="CO18:CQ18"/>
    <mergeCell ref="CR18:CV18"/>
    <mergeCell ref="CW18:CY18"/>
    <mergeCell ref="CZ18:DB18"/>
    <mergeCell ref="BG18:BI18"/>
    <mergeCell ref="BJ18:BR18"/>
    <mergeCell ref="BS18:BU18"/>
    <mergeCell ref="BV18:BX18"/>
    <mergeCell ref="BY18:CA18"/>
    <mergeCell ref="CB18:CD18"/>
    <mergeCell ref="BC18:BE18"/>
    <mergeCell ref="DC19:DE19"/>
    <mergeCell ref="AK18:AK19"/>
    <mergeCell ref="AL18:AL19"/>
    <mergeCell ref="AM18:AM19"/>
    <mergeCell ref="DF17:DH17"/>
    <mergeCell ref="DI17:DK17"/>
    <mergeCell ref="B18:D19"/>
    <mergeCell ref="E18:F19"/>
    <mergeCell ref="G18:G19"/>
    <mergeCell ref="H18:I19"/>
    <mergeCell ref="J18:J19"/>
    <mergeCell ref="K18:N19"/>
    <mergeCell ref="P18:S19"/>
    <mergeCell ref="U18:V19"/>
    <mergeCell ref="CK17:CL17"/>
    <mergeCell ref="CO17:CQ17"/>
    <mergeCell ref="CR17:CV17"/>
    <mergeCell ref="CW17:CY17"/>
    <mergeCell ref="CZ17:DB17"/>
    <mergeCell ref="DC17:DE17"/>
    <mergeCell ref="AX16:BA17"/>
    <mergeCell ref="X16:AA17"/>
    <mergeCell ref="AB16:AE17"/>
    <mergeCell ref="AJ16:AL17"/>
    <mergeCell ref="AM16:AO17"/>
    <mergeCell ref="CW16:CY16"/>
    <mergeCell ref="CZ16:DB16"/>
    <mergeCell ref="DC16:DE16"/>
    <mergeCell ref="DF16:DH16"/>
    <mergeCell ref="BB16:BR16"/>
    <mergeCell ref="BS16:BU16"/>
    <mergeCell ref="BV16:BX16"/>
    <mergeCell ref="BY16:CA16"/>
    <mergeCell ref="CB16:CD16"/>
    <mergeCell ref="AP16:AS17"/>
    <mergeCell ref="AT16:AW17"/>
    <mergeCell ref="AP14:AS14"/>
    <mergeCell ref="AT14:AW14"/>
    <mergeCell ref="AX14:BA14"/>
    <mergeCell ref="CW14:DK14"/>
    <mergeCell ref="B16:D17"/>
    <mergeCell ref="E16:G17"/>
    <mergeCell ref="H16:J17"/>
    <mergeCell ref="K16:O17"/>
    <mergeCell ref="P16:S17"/>
    <mergeCell ref="U16:W17"/>
    <mergeCell ref="DI16:DK16"/>
    <mergeCell ref="BC17:BE17"/>
    <mergeCell ref="BG17:BI17"/>
    <mergeCell ref="BJ17:BR17"/>
    <mergeCell ref="BS17:BU17"/>
    <mergeCell ref="BV17:BX17"/>
    <mergeCell ref="BY17:CA17"/>
    <mergeCell ref="CB17:CD17"/>
    <mergeCell ref="CE17:CG17"/>
    <mergeCell ref="CI17:CJ24"/>
    <mergeCell ref="CE16:CG16"/>
    <mergeCell ref="CH16:CV16"/>
    <mergeCell ref="AP13:AS13"/>
    <mergeCell ref="AT13:AW13"/>
    <mergeCell ref="AX13:BA13"/>
    <mergeCell ref="AX9:BA9"/>
    <mergeCell ref="AP10:AS10"/>
    <mergeCell ref="AT10:AW10"/>
    <mergeCell ref="AX10:BA10"/>
    <mergeCell ref="AP11:AS11"/>
    <mergeCell ref="AT11:AW11"/>
    <mergeCell ref="AX11:BA11"/>
    <mergeCell ref="U1:Z1"/>
    <mergeCell ref="AJ3:AN3"/>
    <mergeCell ref="D4:AD4"/>
    <mergeCell ref="AJ4:AN5"/>
    <mergeCell ref="AP9:AS9"/>
    <mergeCell ref="AT9:AW9"/>
    <mergeCell ref="AP12:AS12"/>
    <mergeCell ref="AT12:AW12"/>
    <mergeCell ref="AX12:BA12"/>
  </mergeCells>
  <phoneticPr fontId="34"/>
  <pageMargins left="0.51181102362204722" right="0.51181102362204722" top="0.74803149606299213" bottom="0.74803149606299213" header="0.31496062992125984" footer="0.31496062992125984"/>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W57"/>
  <sheetViews>
    <sheetView showGridLines="0" topLeftCell="A7" zoomScale="85" zoomScaleNormal="85" workbookViewId="0">
      <selection activeCell="CA40" sqref="CA40:CC42"/>
    </sheetView>
  </sheetViews>
  <sheetFormatPr defaultColWidth="3.75" defaultRowHeight="18.75" customHeight="1" x14ac:dyDescent="0.15"/>
  <cols>
    <col min="1" max="1" width="3.5" style="2" customWidth="1"/>
    <col min="2" max="6" width="3.625" style="2" customWidth="1"/>
    <col min="7" max="7" width="4.25" style="2" customWidth="1"/>
    <col min="8" max="8" width="4.125" style="2" customWidth="1"/>
    <col min="9" max="23" width="3.625" style="2" customWidth="1"/>
    <col min="24" max="24" width="6.625" style="2" customWidth="1"/>
    <col min="25" max="25" width="3.625" style="2" customWidth="1"/>
    <col min="26" max="26" width="5.375" style="2" customWidth="1"/>
    <col min="27" max="30" width="3.625" style="2" customWidth="1"/>
    <col min="31" max="34" width="3.75" style="2" customWidth="1"/>
    <col min="35" max="115" width="4.375" style="2" customWidth="1"/>
    <col min="116" max="116" width="4.5" style="2" customWidth="1"/>
    <col min="117" max="16384" width="3.75" style="2"/>
  </cols>
  <sheetData>
    <row r="1" spans="2:115" ht="18.75" customHeight="1" x14ac:dyDescent="0.15">
      <c r="B1" s="1" t="str">
        <f>"令和"&amp;BD32&amp;"年度　みよし市国民健康保険税　試算表"</f>
        <v>令和3年度　みよし市国民健康保険税　試算表</v>
      </c>
      <c r="Q1" s="2" t="s">
        <v>103</v>
      </c>
      <c r="U1" s="248"/>
      <c r="V1" s="248"/>
      <c r="W1" s="248"/>
      <c r="X1" s="248"/>
      <c r="Y1" s="248"/>
      <c r="Z1" s="248"/>
    </row>
    <row r="2" spans="2:115" ht="9.75" customHeight="1" x14ac:dyDescent="0.15"/>
    <row r="3" spans="2:115" ht="18.75" customHeight="1" x14ac:dyDescent="0.15">
      <c r="B3" s="2" t="str">
        <f>"　このエクセルシートに必要事項を入力すると、令和"&amp;BD32&amp;"年度みよし市国民健康保険税額の試算ができます。"</f>
        <v>　このエクセルシートに必要事項を入力すると、令和3年度みよし市国民健康保険税額の試算ができます。</v>
      </c>
      <c r="AJ3" s="249" t="s">
        <v>78</v>
      </c>
      <c r="AK3" s="249"/>
      <c r="AL3" s="249"/>
      <c r="AM3" s="249"/>
      <c r="AN3" s="249"/>
    </row>
    <row r="4" spans="2:115" ht="18.75" customHeight="1" x14ac:dyDescent="0.15">
      <c r="B4" s="3"/>
      <c r="C4" s="4"/>
      <c r="D4" s="250" t="s">
        <v>79</v>
      </c>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J4" s="252"/>
      <c r="AK4" s="252"/>
      <c r="AL4" s="252"/>
      <c r="AM4" s="252"/>
      <c r="AN4" s="252"/>
    </row>
    <row r="5" spans="2:115" ht="9.75" customHeight="1" x14ac:dyDescent="0.15">
      <c r="AF5" s="5"/>
      <c r="AJ5" s="252"/>
      <c r="AK5" s="252"/>
      <c r="AL5" s="252"/>
      <c r="AM5" s="252"/>
      <c r="AN5" s="252"/>
    </row>
    <row r="6" spans="2:115" ht="18.75" customHeight="1" x14ac:dyDescent="0.15">
      <c r="B6" s="2" t="s">
        <v>0</v>
      </c>
    </row>
    <row r="7" spans="2:115" s="7" customFormat="1" ht="17.25" customHeight="1" x14ac:dyDescent="0.15">
      <c r="B7" s="58" t="s">
        <v>1</v>
      </c>
      <c r="C7" s="7" t="s">
        <v>2</v>
      </c>
    </row>
    <row r="8" spans="2:115" s="7" customFormat="1" ht="17.25" customHeight="1" x14ac:dyDescent="0.15">
      <c r="B8" s="58" t="s">
        <v>1</v>
      </c>
      <c r="C8" s="7" t="s">
        <v>3</v>
      </c>
    </row>
    <row r="9" spans="2:115" s="7" customFormat="1" ht="17.25" customHeight="1" x14ac:dyDescent="0.15">
      <c r="B9" s="58" t="s">
        <v>1</v>
      </c>
      <c r="C9" s="34" t="s">
        <v>4</v>
      </c>
      <c r="AP9" s="253" t="s">
        <v>100</v>
      </c>
      <c r="AQ9" s="254"/>
      <c r="AR9" s="254"/>
      <c r="AS9" s="255"/>
      <c r="AT9" s="253" t="s">
        <v>101</v>
      </c>
      <c r="AU9" s="254"/>
      <c r="AV9" s="254"/>
      <c r="AW9" s="255"/>
      <c r="AX9" s="264" t="s">
        <v>99</v>
      </c>
      <c r="AY9" s="265"/>
      <c r="AZ9" s="265"/>
      <c r="BA9" s="266"/>
    </row>
    <row r="10" spans="2:115" s="7" customFormat="1" ht="14.25" customHeight="1" x14ac:dyDescent="0.15">
      <c r="B10" s="58"/>
      <c r="C10" s="7" t="s">
        <v>65</v>
      </c>
      <c r="E10" s="41" t="str">
        <f>IF(AP28+AT28+AX28+AJ4&gt;CA34,"","※")</f>
        <v>※</v>
      </c>
      <c r="F10" s="7" t="s">
        <v>66</v>
      </c>
      <c r="AO10" s="7">
        <v>1</v>
      </c>
      <c r="AP10" s="256">
        <f>IF(AP18&gt;100000,100000,AP18)</f>
        <v>0</v>
      </c>
      <c r="AQ10" s="257"/>
      <c r="AR10" s="257"/>
      <c r="AS10" s="258"/>
      <c r="AT10" s="256">
        <f>IF(AT18&gt;100000,100000,AT18)</f>
        <v>0</v>
      </c>
      <c r="AU10" s="257"/>
      <c r="AV10" s="257"/>
      <c r="AW10" s="258"/>
      <c r="AX10" s="259">
        <f>IF(SUM(AP10:AW10)&lt;=100000,0,SUM(AP10:AW10)-100000)</f>
        <v>0</v>
      </c>
      <c r="AY10" s="260"/>
      <c r="AZ10" s="260"/>
      <c r="BA10" s="261"/>
    </row>
    <row r="11" spans="2:115" s="7" customFormat="1" ht="14.25" customHeight="1" x14ac:dyDescent="0.15">
      <c r="B11" s="58"/>
      <c r="E11" s="41" t="str">
        <f>IF(AND(E10="",AP28+AT28+AX28+AJ4&lt;=(330000+(F30*CA37))),"※","")</f>
        <v/>
      </c>
      <c r="F11" s="7" t="s">
        <v>81</v>
      </c>
      <c r="AE11" s="20"/>
      <c r="AO11" s="7">
        <v>2</v>
      </c>
      <c r="AP11" s="256">
        <f>IF(AP20&gt;100000,100000,AP20)</f>
        <v>0</v>
      </c>
      <c r="AQ11" s="257"/>
      <c r="AR11" s="257"/>
      <c r="AS11" s="258"/>
      <c r="AT11" s="256">
        <f>IF(AT20&gt;100000,100000,AT20)</f>
        <v>0</v>
      </c>
      <c r="AU11" s="257"/>
      <c r="AV11" s="257"/>
      <c r="AW11" s="258"/>
      <c r="AX11" s="259">
        <f>IF(SUM(AP11:AW11)&lt;=100000,0,SUM(AP11:AW11)-100000)</f>
        <v>0</v>
      </c>
      <c r="AY11" s="260"/>
      <c r="AZ11" s="260"/>
      <c r="BA11" s="261"/>
    </row>
    <row r="12" spans="2:115" s="7" customFormat="1" ht="15" customHeight="1" x14ac:dyDescent="0.15">
      <c r="B12" s="58"/>
      <c r="E12" s="41" t="str">
        <f>IF(AND(AP28+AT28+AX28+AJ4&gt;(330000+(F30*CA37)),AP28+AT28+AX28+AJ4&lt;=(330000+(F30*CA40))),"※","")</f>
        <v/>
      </c>
      <c r="F12" s="7" t="s">
        <v>82</v>
      </c>
      <c r="AE12" s="21"/>
      <c r="AO12" s="7">
        <v>3</v>
      </c>
      <c r="AP12" s="256">
        <f>IF(AP22&gt;100000,100000,AP22)</f>
        <v>0</v>
      </c>
      <c r="AQ12" s="257"/>
      <c r="AR12" s="257"/>
      <c r="AS12" s="258"/>
      <c r="AT12" s="256">
        <f>IF(AT22&gt;100000,100000,AT22)</f>
        <v>0</v>
      </c>
      <c r="AU12" s="257"/>
      <c r="AV12" s="257"/>
      <c r="AW12" s="258"/>
      <c r="AX12" s="259">
        <f>IF(SUM(AP12:AW12)&lt;=100000,0,SUM(AP12:AW12)-100000)</f>
        <v>0</v>
      </c>
      <c r="AY12" s="260"/>
      <c r="AZ12" s="260"/>
      <c r="BA12" s="261"/>
    </row>
    <row r="13" spans="2:115" s="7" customFormat="1" ht="15" customHeight="1" x14ac:dyDescent="0.15">
      <c r="B13" s="58"/>
      <c r="C13" s="7" t="s">
        <v>64</v>
      </c>
      <c r="AE13" s="21"/>
      <c r="AO13" s="7">
        <v>4</v>
      </c>
      <c r="AP13" s="256">
        <f>IF(AP24&gt;100000,100000,AP24)</f>
        <v>0</v>
      </c>
      <c r="AQ13" s="257"/>
      <c r="AR13" s="257"/>
      <c r="AS13" s="258"/>
      <c r="AT13" s="256">
        <f>IF(AT24&gt;100000,100000,AT24)</f>
        <v>0</v>
      </c>
      <c r="AU13" s="257"/>
      <c r="AV13" s="257"/>
      <c r="AW13" s="258"/>
      <c r="AX13" s="259">
        <f>IF(SUM(AP13:AW13)&lt;=100000,0,SUM(AP13:AW13)-100000)</f>
        <v>0</v>
      </c>
      <c r="AY13" s="260"/>
      <c r="AZ13" s="260"/>
      <c r="BA13" s="261"/>
    </row>
    <row r="14" spans="2:115" s="7" customFormat="1" ht="17.25" customHeight="1" x14ac:dyDescent="0.15">
      <c r="B14" s="58" t="s">
        <v>1</v>
      </c>
      <c r="C14" s="7" t="s">
        <v>5</v>
      </c>
      <c r="AO14" s="7">
        <v>5</v>
      </c>
      <c r="AP14" s="256">
        <f>IF(AP26&gt;100000,100000,AP26)</f>
        <v>0</v>
      </c>
      <c r="AQ14" s="257"/>
      <c r="AR14" s="257"/>
      <c r="AS14" s="258"/>
      <c r="AT14" s="256">
        <f>IF(AT26&gt;100000,100000,AT26)</f>
        <v>0</v>
      </c>
      <c r="AU14" s="257"/>
      <c r="AV14" s="257"/>
      <c r="AW14" s="258"/>
      <c r="AX14" s="259">
        <f>IF(SUM(AP14:AW14)&lt;=100000,0,SUM(AP14:AW14)-100000)</f>
        <v>0</v>
      </c>
      <c r="AY14" s="260"/>
      <c r="AZ14" s="260"/>
      <c r="BA14" s="261"/>
      <c r="CW14" s="704" t="s">
        <v>111</v>
      </c>
      <c r="CX14" s="704"/>
      <c r="CY14" s="704"/>
      <c r="CZ14" s="704"/>
      <c r="DA14" s="704"/>
      <c r="DB14" s="704"/>
      <c r="DC14" s="704"/>
      <c r="DD14" s="704"/>
      <c r="DE14" s="704"/>
      <c r="DF14" s="704"/>
      <c r="DG14" s="704"/>
      <c r="DH14" s="704"/>
      <c r="DI14" s="704"/>
      <c r="DJ14" s="704"/>
      <c r="DK14" s="704"/>
    </row>
    <row r="15" spans="2:115" ht="9.75" customHeight="1" thickBot="1" x14ac:dyDescent="0.2">
      <c r="BB15" s="8">
        <v>1</v>
      </c>
      <c r="BC15" s="8">
        <v>2</v>
      </c>
      <c r="BD15" s="8">
        <v>3</v>
      </c>
      <c r="BE15" s="8">
        <v>4</v>
      </c>
      <c r="BF15" s="8">
        <v>5</v>
      </c>
      <c r="BG15" s="8">
        <v>6</v>
      </c>
      <c r="BH15" s="8">
        <v>7</v>
      </c>
      <c r="BI15" s="8">
        <v>8</v>
      </c>
      <c r="BJ15" s="8">
        <v>9</v>
      </c>
      <c r="BK15" s="8">
        <v>10</v>
      </c>
      <c r="BL15" s="8">
        <v>11</v>
      </c>
      <c r="BM15" s="8">
        <v>12</v>
      </c>
      <c r="BN15" s="8">
        <v>13</v>
      </c>
      <c r="BO15" s="8">
        <v>14</v>
      </c>
      <c r="BP15" s="8">
        <v>15</v>
      </c>
      <c r="BQ15" s="8">
        <v>16</v>
      </c>
      <c r="BR15" s="8">
        <v>17</v>
      </c>
      <c r="BS15" s="8">
        <v>18</v>
      </c>
      <c r="BT15" s="8">
        <v>19</v>
      </c>
      <c r="BU15" s="8">
        <v>20</v>
      </c>
      <c r="BV15" s="8">
        <v>21</v>
      </c>
      <c r="BW15" s="8">
        <v>22</v>
      </c>
      <c r="BX15" s="8">
        <v>23</v>
      </c>
      <c r="BY15" s="8">
        <v>24</v>
      </c>
      <c r="BZ15" s="8">
        <v>25</v>
      </c>
      <c r="CA15" s="8">
        <v>26</v>
      </c>
      <c r="CB15" s="8">
        <v>27</v>
      </c>
      <c r="CC15" s="8">
        <v>28</v>
      </c>
      <c r="CD15" s="8">
        <v>29</v>
      </c>
      <c r="CE15" s="8">
        <v>30</v>
      </c>
      <c r="CF15" s="8">
        <v>31</v>
      </c>
      <c r="CG15" s="8">
        <v>32</v>
      </c>
      <c r="CH15" s="8">
        <v>1</v>
      </c>
      <c r="CI15" s="8">
        <v>2</v>
      </c>
      <c r="CJ15" s="8">
        <v>3</v>
      </c>
      <c r="CK15" s="8">
        <v>4</v>
      </c>
      <c r="CL15" s="8">
        <v>5</v>
      </c>
      <c r="CM15" s="8">
        <v>6</v>
      </c>
      <c r="CN15" s="8">
        <v>7</v>
      </c>
      <c r="CO15" s="8">
        <v>8</v>
      </c>
      <c r="CP15" s="8">
        <v>9</v>
      </c>
      <c r="CQ15" s="8">
        <v>10</v>
      </c>
      <c r="CR15" s="8">
        <v>11</v>
      </c>
      <c r="CS15" s="8">
        <v>12</v>
      </c>
      <c r="CT15" s="8">
        <v>13</v>
      </c>
      <c r="CU15" s="8">
        <v>14</v>
      </c>
      <c r="CV15" s="8">
        <v>15</v>
      </c>
      <c r="CW15" s="8">
        <v>16</v>
      </c>
      <c r="CX15" s="8">
        <v>17</v>
      </c>
      <c r="CY15" s="8">
        <v>18</v>
      </c>
      <c r="CZ15" s="8">
        <v>19</v>
      </c>
      <c r="DA15" s="8">
        <v>20</v>
      </c>
      <c r="DB15" s="8">
        <v>21</v>
      </c>
      <c r="DC15" s="8">
        <v>22</v>
      </c>
      <c r="DD15" s="8">
        <v>23</v>
      </c>
      <c r="DE15" s="8">
        <v>24</v>
      </c>
      <c r="DF15" s="8">
        <v>25</v>
      </c>
      <c r="DG15" s="8">
        <v>26</v>
      </c>
      <c r="DH15" s="8">
        <v>27</v>
      </c>
      <c r="DI15" s="8">
        <v>28</v>
      </c>
      <c r="DJ15" s="8">
        <v>29</v>
      </c>
      <c r="DK15" s="8">
        <v>30</v>
      </c>
    </row>
    <row r="16" spans="2:115" ht="20.25" customHeight="1" x14ac:dyDescent="0.15">
      <c r="B16" s="103" t="s">
        <v>6</v>
      </c>
      <c r="C16" s="104"/>
      <c r="D16" s="172"/>
      <c r="E16" s="171" t="str">
        <f>"令和"&amp;BD32&amp;"年1月1日
時点の年齢"</f>
        <v>令和3年1月1日
時点の年齢</v>
      </c>
      <c r="F16" s="104"/>
      <c r="G16" s="172"/>
      <c r="H16" s="171" t="s">
        <v>80</v>
      </c>
      <c r="I16" s="104"/>
      <c r="J16" s="172"/>
      <c r="K16" s="171" t="s">
        <v>7</v>
      </c>
      <c r="L16" s="104"/>
      <c r="M16" s="104"/>
      <c r="N16" s="104"/>
      <c r="O16" s="172"/>
      <c r="P16" s="171" t="s">
        <v>8</v>
      </c>
      <c r="Q16" s="104"/>
      <c r="R16" s="104"/>
      <c r="S16" s="104"/>
      <c r="T16" s="48"/>
      <c r="U16" s="171" t="s">
        <v>62</v>
      </c>
      <c r="V16" s="104"/>
      <c r="W16" s="172"/>
      <c r="X16" s="171" t="s">
        <v>9</v>
      </c>
      <c r="Y16" s="104"/>
      <c r="Z16" s="104"/>
      <c r="AA16" s="105"/>
      <c r="AB16" s="329" t="s">
        <v>83</v>
      </c>
      <c r="AC16" s="330"/>
      <c r="AD16" s="330"/>
      <c r="AE16" s="331"/>
      <c r="AJ16" s="216" t="s">
        <v>10</v>
      </c>
      <c r="AK16" s="217"/>
      <c r="AL16" s="217"/>
      <c r="AM16" s="335" t="s">
        <v>11</v>
      </c>
      <c r="AN16" s="182"/>
      <c r="AO16" s="336"/>
      <c r="AP16" s="294" t="s">
        <v>12</v>
      </c>
      <c r="AQ16" s="295"/>
      <c r="AR16" s="295"/>
      <c r="AS16" s="296"/>
      <c r="AT16" s="294" t="s">
        <v>13</v>
      </c>
      <c r="AU16" s="295"/>
      <c r="AV16" s="295"/>
      <c r="AW16" s="296"/>
      <c r="AX16" s="294" t="s">
        <v>63</v>
      </c>
      <c r="AY16" s="295"/>
      <c r="AZ16" s="295"/>
      <c r="BA16" s="296"/>
      <c r="BB16" s="577" t="s">
        <v>14</v>
      </c>
      <c r="BC16" s="242"/>
      <c r="BD16" s="242"/>
      <c r="BE16" s="242"/>
      <c r="BF16" s="242"/>
      <c r="BG16" s="242"/>
      <c r="BH16" s="242"/>
      <c r="BI16" s="242"/>
      <c r="BJ16" s="242"/>
      <c r="BK16" s="242"/>
      <c r="BL16" s="242"/>
      <c r="BM16" s="242"/>
      <c r="BN16" s="242"/>
      <c r="BO16" s="242"/>
      <c r="BP16" s="242"/>
      <c r="BQ16" s="242"/>
      <c r="BR16" s="293"/>
      <c r="BS16" s="217" t="s">
        <v>15</v>
      </c>
      <c r="BT16" s="217"/>
      <c r="BU16" s="217"/>
      <c r="BV16" s="217" t="s">
        <v>16</v>
      </c>
      <c r="BW16" s="217"/>
      <c r="BX16" s="217"/>
      <c r="BY16" s="217" t="s">
        <v>17</v>
      </c>
      <c r="BZ16" s="217"/>
      <c r="CA16" s="217"/>
      <c r="CB16" s="217" t="s">
        <v>18</v>
      </c>
      <c r="CC16" s="217"/>
      <c r="CD16" s="217"/>
      <c r="CE16" s="217" t="s">
        <v>19</v>
      </c>
      <c r="CF16" s="217"/>
      <c r="CG16" s="217"/>
      <c r="CH16" s="578" t="s">
        <v>20</v>
      </c>
      <c r="CI16" s="579"/>
      <c r="CJ16" s="579"/>
      <c r="CK16" s="579"/>
      <c r="CL16" s="579"/>
      <c r="CM16" s="579"/>
      <c r="CN16" s="579"/>
      <c r="CO16" s="579"/>
      <c r="CP16" s="579"/>
      <c r="CQ16" s="579"/>
      <c r="CR16" s="579"/>
      <c r="CS16" s="579"/>
      <c r="CT16" s="579"/>
      <c r="CU16" s="579"/>
      <c r="CV16" s="580"/>
      <c r="CW16" s="217" t="s">
        <v>15</v>
      </c>
      <c r="CX16" s="217"/>
      <c r="CY16" s="217"/>
      <c r="CZ16" s="217" t="s">
        <v>16</v>
      </c>
      <c r="DA16" s="217"/>
      <c r="DB16" s="217"/>
      <c r="DC16" s="217" t="s">
        <v>17</v>
      </c>
      <c r="DD16" s="217"/>
      <c r="DE16" s="217"/>
      <c r="DF16" s="217" t="s">
        <v>18</v>
      </c>
      <c r="DG16" s="217"/>
      <c r="DH16" s="217"/>
      <c r="DI16" s="217" t="s">
        <v>19</v>
      </c>
      <c r="DJ16" s="217"/>
      <c r="DK16" s="288"/>
    </row>
    <row r="17" spans="2:127" ht="20.25" customHeight="1" thickBot="1" x14ac:dyDescent="0.2">
      <c r="B17" s="109"/>
      <c r="C17" s="110"/>
      <c r="D17" s="276"/>
      <c r="E17" s="275"/>
      <c r="F17" s="110"/>
      <c r="G17" s="276"/>
      <c r="H17" s="275"/>
      <c r="I17" s="110"/>
      <c r="J17" s="276"/>
      <c r="K17" s="275"/>
      <c r="L17" s="110"/>
      <c r="M17" s="110"/>
      <c r="N17" s="110"/>
      <c r="O17" s="276"/>
      <c r="P17" s="275"/>
      <c r="Q17" s="110"/>
      <c r="R17" s="110"/>
      <c r="S17" s="110"/>
      <c r="T17" s="49"/>
      <c r="U17" s="275"/>
      <c r="V17" s="110"/>
      <c r="W17" s="276"/>
      <c r="X17" s="275"/>
      <c r="Y17" s="110"/>
      <c r="Z17" s="110"/>
      <c r="AA17" s="111"/>
      <c r="AB17" s="332"/>
      <c r="AC17" s="333"/>
      <c r="AD17" s="333"/>
      <c r="AE17" s="334"/>
      <c r="AJ17" s="218"/>
      <c r="AK17" s="219"/>
      <c r="AL17" s="219"/>
      <c r="AM17" s="337"/>
      <c r="AN17" s="338"/>
      <c r="AO17" s="339"/>
      <c r="AP17" s="297"/>
      <c r="AQ17" s="298"/>
      <c r="AR17" s="298"/>
      <c r="AS17" s="299"/>
      <c r="AT17" s="297"/>
      <c r="AU17" s="298"/>
      <c r="AV17" s="298"/>
      <c r="AW17" s="299"/>
      <c r="AX17" s="297"/>
      <c r="AY17" s="298"/>
      <c r="AZ17" s="298"/>
      <c r="BA17" s="299"/>
      <c r="BB17" s="10">
        <v>1</v>
      </c>
      <c r="BC17" s="279">
        <v>0</v>
      </c>
      <c r="BD17" s="279"/>
      <c r="BE17" s="279"/>
      <c r="BF17" s="60" t="s">
        <v>21</v>
      </c>
      <c r="BG17" s="279">
        <v>550999</v>
      </c>
      <c r="BH17" s="279"/>
      <c r="BI17" s="279"/>
      <c r="BJ17" s="219">
        <v>0</v>
      </c>
      <c r="BK17" s="219"/>
      <c r="BL17" s="219"/>
      <c r="BM17" s="219"/>
      <c r="BN17" s="219"/>
      <c r="BO17" s="219"/>
      <c r="BP17" s="219"/>
      <c r="BQ17" s="219"/>
      <c r="BR17" s="239"/>
      <c r="BS17" s="280">
        <v>0</v>
      </c>
      <c r="BT17" s="280"/>
      <c r="BU17" s="280"/>
      <c r="BV17" s="280">
        <v>0</v>
      </c>
      <c r="BW17" s="280"/>
      <c r="BX17" s="280"/>
      <c r="BY17" s="280">
        <v>0</v>
      </c>
      <c r="BZ17" s="280"/>
      <c r="CA17" s="280"/>
      <c r="CB17" s="280">
        <v>0</v>
      </c>
      <c r="CC17" s="280"/>
      <c r="CD17" s="280"/>
      <c r="CE17" s="280">
        <v>0</v>
      </c>
      <c r="CF17" s="280"/>
      <c r="CG17" s="280"/>
      <c r="CH17" s="60">
        <v>1</v>
      </c>
      <c r="CI17" s="589">
        <v>65</v>
      </c>
      <c r="CJ17" s="590"/>
      <c r="CK17" s="581"/>
      <c r="CL17" s="582"/>
      <c r="CM17" s="54"/>
      <c r="CN17" s="63" t="s">
        <v>98</v>
      </c>
      <c r="CO17" s="348">
        <v>900000</v>
      </c>
      <c r="CP17" s="348"/>
      <c r="CQ17" s="576"/>
      <c r="CR17" s="351" t="s">
        <v>95</v>
      </c>
      <c r="CS17" s="351"/>
      <c r="CT17" s="351"/>
      <c r="CU17" s="351"/>
      <c r="CV17" s="351"/>
      <c r="CW17" s="340">
        <v>0</v>
      </c>
      <c r="CX17" s="341"/>
      <c r="CY17" s="342"/>
      <c r="CZ17" s="340">
        <v>0</v>
      </c>
      <c r="DA17" s="341"/>
      <c r="DB17" s="342"/>
      <c r="DC17" s="340">
        <v>0</v>
      </c>
      <c r="DD17" s="341"/>
      <c r="DE17" s="342"/>
      <c r="DF17" s="340">
        <v>0</v>
      </c>
      <c r="DG17" s="341"/>
      <c r="DH17" s="342"/>
      <c r="DI17" s="340">
        <v>0</v>
      </c>
      <c r="DJ17" s="341"/>
      <c r="DK17" s="343"/>
    </row>
    <row r="18" spans="2:127" ht="18" customHeight="1" x14ac:dyDescent="0.15">
      <c r="B18" s="304" t="s">
        <v>22</v>
      </c>
      <c r="C18" s="305"/>
      <c r="D18" s="306"/>
      <c r="E18" s="310">
        <f>試算入力用!$E$18</f>
        <v>0</v>
      </c>
      <c r="F18" s="311"/>
      <c r="G18" s="314" t="s">
        <v>23</v>
      </c>
      <c r="H18" s="310">
        <f>試算入力用!$H$18</f>
        <v>0</v>
      </c>
      <c r="I18" s="311"/>
      <c r="J18" s="314" t="s">
        <v>23</v>
      </c>
      <c r="K18" s="316">
        <f>試算入力用!$K$18</f>
        <v>0</v>
      </c>
      <c r="L18" s="317"/>
      <c r="M18" s="317"/>
      <c r="N18" s="317"/>
      <c r="O18" s="47" t="s">
        <v>24</v>
      </c>
      <c r="P18" s="316">
        <f>試算入力用!$P$18</f>
        <v>0</v>
      </c>
      <c r="Q18" s="317"/>
      <c r="R18" s="317"/>
      <c r="S18" s="317"/>
      <c r="T18" s="47" t="s">
        <v>24</v>
      </c>
      <c r="U18" s="600">
        <f>試算入力用!$U$18</f>
        <v>0</v>
      </c>
      <c r="V18" s="601"/>
      <c r="W18" s="47" t="s">
        <v>24</v>
      </c>
      <c r="X18" s="705">
        <f>IF(E18="","",SUM(AP18:BA19)-$AX$10)</f>
        <v>0</v>
      </c>
      <c r="Y18" s="615"/>
      <c r="Z18" s="615"/>
      <c r="AA18" s="35" t="s">
        <v>24</v>
      </c>
      <c r="AB18" s="614">
        <f>IF(X18="","",IF(X18&lt;=430000,0,X18-430000))</f>
        <v>0</v>
      </c>
      <c r="AC18" s="615"/>
      <c r="AD18" s="615"/>
      <c r="AE18" s="35" t="s">
        <v>24</v>
      </c>
      <c r="AJ18" s="378">
        <f>IF(K18="","",IF(K18&lt;BC18,1,IF(K18&lt;BC19,2,IF(K18&lt;BC20,3,IF(K18&lt;BC21,4,IF(K18&lt;BC22,5,IF(K18&lt;BC23,6,"")))))))</f>
        <v>1</v>
      </c>
      <c r="AK18" s="379" t="str">
        <f>IF(K18="","",IF(K18&lt;$BC$23,"",IF(K18&lt;$BC$24,7,IF(K18&lt;$BC$25,8,IF(K18&lt;$BC$26,9,IF(K18&lt;$BC$27,10,IF(K18&gt;=$BC$27,11,"")))))))</f>
        <v/>
      </c>
      <c r="AL18" s="361">
        <f>IF(AJ18="",AK18,AJ18)</f>
        <v>1</v>
      </c>
      <c r="AM18" s="380" t="str">
        <f>IF(P18="","",IF(E18&lt;65,"",IF(E18&gt;=65,IF(P18&lt;=$CO$17,1,IF(P18&lt;=$CO$18,2,IF(P18&lt;=$CO$19,3,IF(P18&lt;=$CO$20,4,IF(P18&lt;=$CO$21,5,IF(P18&lt;=$CO$22,6,IF(P18&lt;=$CO$23,7,IF(P18&gt;=$CK$24,8,"")))))))))))</f>
        <v/>
      </c>
      <c r="AN18" s="359">
        <f>IF($P$18="","",IF($E$18-1&gt;=65,"",IF($E$18-1&lt;65,IF($P$18&lt;=$CO$25,9,IF($P$18&lt;=$CO$26,10,IF($P$18&lt;=$CO$27,11,IF($P$18&lt;=$CO$28,12,IF($P$18&lt;=$CO$29,13,IF($P$18&lt;=$CO$30,14,IF($P$18&lt;=$CO$31,15,IF($P$18&gt;=$CK$32,16,"")))))))))))</f>
        <v>9</v>
      </c>
      <c r="AO18" s="361">
        <f>IF(AM18="",AN18,AM18)</f>
        <v>9</v>
      </c>
      <c r="AP18" s="280">
        <f>IF(AL18="",0,VLOOKUP(AL18,BB17:CG27,18,0))</f>
        <v>0</v>
      </c>
      <c r="AQ18" s="280"/>
      <c r="AR18" s="280"/>
      <c r="AS18" s="280"/>
      <c r="AT18" s="362">
        <f>IF(AO18="",0,VLOOKUP(AO18,CH17:DK32,16,0))</f>
        <v>0</v>
      </c>
      <c r="AU18" s="363"/>
      <c r="AV18" s="363"/>
      <c r="AW18" s="364"/>
      <c r="AX18" s="368">
        <f>U18</f>
        <v>0</v>
      </c>
      <c r="AY18" s="369"/>
      <c r="AZ18" s="369"/>
      <c r="BA18" s="423"/>
      <c r="BB18" s="10">
        <v>2</v>
      </c>
      <c r="BC18" s="279">
        <v>551000</v>
      </c>
      <c r="BD18" s="279"/>
      <c r="BE18" s="279"/>
      <c r="BF18" s="60" t="s">
        <v>21</v>
      </c>
      <c r="BG18" s="279">
        <v>1618999</v>
      </c>
      <c r="BH18" s="279"/>
      <c r="BI18" s="279"/>
      <c r="BJ18" s="219" t="s">
        <v>84</v>
      </c>
      <c r="BK18" s="219"/>
      <c r="BL18" s="219"/>
      <c r="BM18" s="219"/>
      <c r="BN18" s="219"/>
      <c r="BO18" s="219"/>
      <c r="BP18" s="219"/>
      <c r="BQ18" s="219"/>
      <c r="BR18" s="239"/>
      <c r="BS18" s="280">
        <f>K18-550000</f>
        <v>-550000</v>
      </c>
      <c r="BT18" s="280"/>
      <c r="BU18" s="280"/>
      <c r="BV18" s="280">
        <f>K20-550000</f>
        <v>-550000</v>
      </c>
      <c r="BW18" s="280"/>
      <c r="BX18" s="280"/>
      <c r="BY18" s="280">
        <f>K22-550000</f>
        <v>-550000</v>
      </c>
      <c r="BZ18" s="280"/>
      <c r="CA18" s="280"/>
      <c r="CB18" s="280">
        <f>K24-550000</f>
        <v>-550000</v>
      </c>
      <c r="CC18" s="280"/>
      <c r="CD18" s="280"/>
      <c r="CE18" s="280">
        <f>K26-550000</f>
        <v>-550000</v>
      </c>
      <c r="CF18" s="280"/>
      <c r="CG18" s="280"/>
      <c r="CH18" s="60">
        <v>2</v>
      </c>
      <c r="CI18" s="284"/>
      <c r="CJ18" s="285"/>
      <c r="CK18" s="409">
        <f>CO17+1</f>
        <v>900001</v>
      </c>
      <c r="CL18" s="347"/>
      <c r="CM18" s="347"/>
      <c r="CN18" s="57" t="s">
        <v>98</v>
      </c>
      <c r="CO18" s="348">
        <v>1000000</v>
      </c>
      <c r="CP18" s="348"/>
      <c r="CQ18" s="576"/>
      <c r="CR18" s="583" t="s">
        <v>112</v>
      </c>
      <c r="CS18" s="584"/>
      <c r="CT18" s="584"/>
      <c r="CU18" s="584"/>
      <c r="CV18" s="585"/>
      <c r="CW18" s="340">
        <f>IF($P$18-900000&gt;0,$P$18-900000,0)</f>
        <v>0</v>
      </c>
      <c r="CX18" s="341"/>
      <c r="CY18" s="342"/>
      <c r="CZ18" s="340">
        <f>IF($P$20-900000&gt;0,$P$20-900000,0)</f>
        <v>0</v>
      </c>
      <c r="DA18" s="341"/>
      <c r="DB18" s="342"/>
      <c r="DC18" s="340">
        <f>IF($P$22-900000&gt;0,$P$22-900000,0)</f>
        <v>0</v>
      </c>
      <c r="DD18" s="341"/>
      <c r="DE18" s="342"/>
      <c r="DF18" s="340">
        <f>IF($P$24-900000&gt;0,$P$24-900000,0)</f>
        <v>0</v>
      </c>
      <c r="DG18" s="341"/>
      <c r="DH18" s="342"/>
      <c r="DI18" s="340">
        <f>IF($P$26-900000&gt;0,$P$26-900000,0)</f>
        <v>0</v>
      </c>
      <c r="DJ18" s="341"/>
      <c r="DK18" s="343"/>
    </row>
    <row r="19" spans="2:127" ht="18" customHeight="1" x14ac:dyDescent="0.15">
      <c r="B19" s="307"/>
      <c r="C19" s="308"/>
      <c r="D19" s="309"/>
      <c r="E19" s="312"/>
      <c r="F19" s="313"/>
      <c r="G19" s="315"/>
      <c r="H19" s="312"/>
      <c r="I19" s="313"/>
      <c r="J19" s="315"/>
      <c r="K19" s="355"/>
      <c r="L19" s="356"/>
      <c r="M19" s="356"/>
      <c r="N19" s="356"/>
      <c r="O19" s="46"/>
      <c r="P19" s="355"/>
      <c r="Q19" s="356"/>
      <c r="R19" s="356"/>
      <c r="S19" s="356"/>
      <c r="T19" s="46"/>
      <c r="U19" s="602"/>
      <c r="V19" s="603"/>
      <c r="W19" s="46"/>
      <c r="X19" s="706"/>
      <c r="Y19" s="611"/>
      <c r="Z19" s="611"/>
      <c r="AA19" s="36"/>
      <c r="AB19" s="610"/>
      <c r="AC19" s="611"/>
      <c r="AD19" s="611"/>
      <c r="AE19" s="36"/>
      <c r="AJ19" s="378"/>
      <c r="AK19" s="379"/>
      <c r="AL19" s="361"/>
      <c r="AM19" s="381"/>
      <c r="AN19" s="360"/>
      <c r="AO19" s="361"/>
      <c r="AP19" s="280"/>
      <c r="AQ19" s="280"/>
      <c r="AR19" s="280"/>
      <c r="AS19" s="280"/>
      <c r="AT19" s="365"/>
      <c r="AU19" s="366"/>
      <c r="AV19" s="366"/>
      <c r="AW19" s="367"/>
      <c r="AX19" s="370"/>
      <c r="AY19" s="371"/>
      <c r="AZ19" s="371"/>
      <c r="BA19" s="401"/>
      <c r="BB19" s="10">
        <v>3</v>
      </c>
      <c r="BC19" s="279">
        <v>1619000</v>
      </c>
      <c r="BD19" s="279"/>
      <c r="BE19" s="279"/>
      <c r="BF19" s="60" t="s">
        <v>21</v>
      </c>
      <c r="BG19" s="279">
        <v>1619999</v>
      </c>
      <c r="BH19" s="279"/>
      <c r="BI19" s="279"/>
      <c r="BJ19" s="279">
        <v>1069000</v>
      </c>
      <c r="BK19" s="279"/>
      <c r="BL19" s="279"/>
      <c r="BM19" s="279"/>
      <c r="BN19" s="279"/>
      <c r="BO19" s="279"/>
      <c r="BP19" s="279"/>
      <c r="BQ19" s="279"/>
      <c r="BR19" s="344"/>
      <c r="BS19" s="280">
        <f>BJ19</f>
        <v>1069000</v>
      </c>
      <c r="BT19" s="280"/>
      <c r="BU19" s="280"/>
      <c r="BV19" s="280">
        <f>BJ19</f>
        <v>1069000</v>
      </c>
      <c r="BW19" s="280"/>
      <c r="BX19" s="280"/>
      <c r="BY19" s="280">
        <f>BJ19</f>
        <v>1069000</v>
      </c>
      <c r="BZ19" s="280"/>
      <c r="CA19" s="280"/>
      <c r="CB19" s="280">
        <f>BJ19</f>
        <v>1069000</v>
      </c>
      <c r="CC19" s="280"/>
      <c r="CD19" s="280"/>
      <c r="CE19" s="280">
        <f>BJ19</f>
        <v>1069000</v>
      </c>
      <c r="CF19" s="280"/>
      <c r="CG19" s="280"/>
      <c r="CH19" s="60">
        <v>3</v>
      </c>
      <c r="CI19" s="284"/>
      <c r="CJ19" s="285"/>
      <c r="CK19" s="409">
        <f t="shared" ref="CK19:CK24" si="0">CO18+1</f>
        <v>1000001</v>
      </c>
      <c r="CL19" s="347"/>
      <c r="CM19" s="347"/>
      <c r="CN19" s="57" t="s">
        <v>98</v>
      </c>
      <c r="CO19" s="348">
        <v>1100000</v>
      </c>
      <c r="CP19" s="348"/>
      <c r="CQ19" s="576"/>
      <c r="CR19" s="583" t="s">
        <v>112</v>
      </c>
      <c r="CS19" s="584"/>
      <c r="CT19" s="584"/>
      <c r="CU19" s="584"/>
      <c r="CV19" s="585"/>
      <c r="CW19" s="340">
        <f>IF($P$18-900000&gt;0,$P$18-900000,0)</f>
        <v>0</v>
      </c>
      <c r="CX19" s="341"/>
      <c r="CY19" s="342"/>
      <c r="CZ19" s="340">
        <f>IF($P$20-900000&gt;0,$P$20-900000,0)</f>
        <v>0</v>
      </c>
      <c r="DA19" s="341"/>
      <c r="DB19" s="342"/>
      <c r="DC19" s="340">
        <f>IF($P$22-900000&gt;0,$P$22-900000,0)</f>
        <v>0</v>
      </c>
      <c r="DD19" s="341"/>
      <c r="DE19" s="342"/>
      <c r="DF19" s="340">
        <f>IF($P$24-900000&gt;0,$P$24-900000,0)</f>
        <v>0</v>
      </c>
      <c r="DG19" s="341"/>
      <c r="DH19" s="342"/>
      <c r="DI19" s="340">
        <f>IF($P$26-900000&gt;0,$P$26-900000,0)</f>
        <v>0</v>
      </c>
      <c r="DJ19" s="341"/>
      <c r="DK19" s="343"/>
      <c r="DW19" s="13"/>
    </row>
    <row r="20" spans="2:127" ht="18" customHeight="1" x14ac:dyDescent="0.15">
      <c r="B20" s="386" t="s">
        <v>25</v>
      </c>
      <c r="C20" s="387"/>
      <c r="D20" s="388"/>
      <c r="E20" s="353">
        <f>試算入力用!$E$20</f>
        <v>0</v>
      </c>
      <c r="F20" s="354"/>
      <c r="G20" s="352" t="s">
        <v>23</v>
      </c>
      <c r="H20" s="353">
        <f>試算入力用!$H$20</f>
        <v>0</v>
      </c>
      <c r="I20" s="354"/>
      <c r="J20" s="352" t="s">
        <v>23</v>
      </c>
      <c r="K20" s="357">
        <f>試算入力用!$K$20</f>
        <v>0</v>
      </c>
      <c r="L20" s="358"/>
      <c r="M20" s="358"/>
      <c r="N20" s="358"/>
      <c r="O20" s="43" t="s">
        <v>24</v>
      </c>
      <c r="P20" s="357">
        <f>試算入力用!$P$20</f>
        <v>0</v>
      </c>
      <c r="Q20" s="358"/>
      <c r="R20" s="358"/>
      <c r="S20" s="358"/>
      <c r="T20" s="43" t="s">
        <v>24</v>
      </c>
      <c r="U20" s="604">
        <f>試算入力用!$U$20</f>
        <v>0</v>
      </c>
      <c r="V20" s="605"/>
      <c r="W20" s="45" t="s">
        <v>24</v>
      </c>
      <c r="X20" s="707">
        <f>IF(E20="","",SUM(AP20:BA21)-$AX$11)</f>
        <v>0</v>
      </c>
      <c r="Y20" s="595"/>
      <c r="Z20" s="595"/>
      <c r="AA20" s="37" t="s">
        <v>24</v>
      </c>
      <c r="AB20" s="594">
        <f>IF(X20="","",IF(X20&lt;=430000,0,X20-430000))</f>
        <v>0</v>
      </c>
      <c r="AC20" s="595"/>
      <c r="AD20" s="595"/>
      <c r="AE20" s="42" t="s">
        <v>24</v>
      </c>
      <c r="AJ20" s="378">
        <f>IF(K20="","",IF(K20&lt;BC18,1,IF(K20&lt;BC19,2,IF(K20&lt;BC20,3,IF(K20&lt;BC21,4,IF(K20&lt;BC22,5,IF(K20&lt;BC23,6,"")))))))</f>
        <v>1</v>
      </c>
      <c r="AK20" s="379" t="str">
        <f>IF(K20="","",IF(K20&lt;$BC$23,"",IF(K20&lt;$BC$24,7,IF(K20&lt;$BC$25,8,IF(K20&lt;$BC$26,9,IF(K20&lt;$BC$27,10,IF(K20&gt;=$BC$27,11,"")))))))</f>
        <v/>
      </c>
      <c r="AL20" s="361">
        <f>IF(AJ20="",AK20,AJ20)</f>
        <v>1</v>
      </c>
      <c r="AM20" s="380" t="str">
        <f t="shared" ref="AM20" si="1">IF(P20="","",IF(E20&lt;65,"",IF(E20&gt;=65,IF(P20&lt;=$CO$17,1,IF(P20&lt;=$CO$18,2,IF(P20&lt;=$CO$19,3,IF(P20&lt;=$CO$20,4,IF(P20&lt;=$CO$21,5,IF(P20&lt;=$CO$22,6,IF(P20&lt;=$CO$23,7,IF(P20&gt;=$CK$24,8,"")))))))))))</f>
        <v/>
      </c>
      <c r="AN20" s="359">
        <f>IF($P$20="","",IF($E$20-1&gt;=65,"",IF($E$20-1&lt;65,IF($P$20&lt;=$CO$25,9,IF($P$20&lt;=$CO$26,10,IF($P$20&lt;=$CO$27,11,IF($P$20&lt;=$CO$28,12,IF($P$20&lt;=$CO$29,13,IF($P$20&lt;=$CO$30,14,IF($P$20&lt;=$CO$31,15,IF($P$20&gt;=$CK$32,16,"")))))))))))</f>
        <v>9</v>
      </c>
      <c r="AO20" s="361">
        <f>IF(AM20="",AN20,AM20)</f>
        <v>9</v>
      </c>
      <c r="AP20" s="280">
        <f>IF(AL20="",0,VLOOKUP(AL20,BB17:CG27,21,0))</f>
        <v>0</v>
      </c>
      <c r="AQ20" s="280"/>
      <c r="AR20" s="280"/>
      <c r="AS20" s="280"/>
      <c r="AT20" s="362">
        <f>IF(AO20="",0,VLOOKUP(AO20,CH17:DK32,19,0))</f>
        <v>0</v>
      </c>
      <c r="AU20" s="363"/>
      <c r="AV20" s="363"/>
      <c r="AW20" s="364"/>
      <c r="AX20" s="368">
        <f>U20</f>
        <v>0</v>
      </c>
      <c r="AY20" s="369"/>
      <c r="AZ20" s="369"/>
      <c r="BA20" s="423"/>
      <c r="BB20" s="10">
        <v>4</v>
      </c>
      <c r="BC20" s="279">
        <v>1620000</v>
      </c>
      <c r="BD20" s="279"/>
      <c r="BE20" s="279"/>
      <c r="BF20" s="60" t="s">
        <v>21</v>
      </c>
      <c r="BG20" s="279">
        <v>1621999</v>
      </c>
      <c r="BH20" s="279"/>
      <c r="BI20" s="279"/>
      <c r="BJ20" s="279">
        <v>1070000</v>
      </c>
      <c r="BK20" s="279"/>
      <c r="BL20" s="279"/>
      <c r="BM20" s="279"/>
      <c r="BN20" s="279"/>
      <c r="BO20" s="279"/>
      <c r="BP20" s="279"/>
      <c r="BQ20" s="279"/>
      <c r="BR20" s="344"/>
      <c r="BS20" s="280">
        <f>BJ20</f>
        <v>1070000</v>
      </c>
      <c r="BT20" s="280"/>
      <c r="BU20" s="280"/>
      <c r="BV20" s="280">
        <f>BJ20</f>
        <v>1070000</v>
      </c>
      <c r="BW20" s="280"/>
      <c r="BX20" s="280"/>
      <c r="BY20" s="280">
        <f>BJ20</f>
        <v>1070000</v>
      </c>
      <c r="BZ20" s="280"/>
      <c r="CA20" s="280"/>
      <c r="CB20" s="280">
        <f>BJ20</f>
        <v>1070000</v>
      </c>
      <c r="CC20" s="280"/>
      <c r="CD20" s="280"/>
      <c r="CE20" s="280">
        <f>BJ20</f>
        <v>1070000</v>
      </c>
      <c r="CF20" s="280"/>
      <c r="CG20" s="280"/>
      <c r="CH20" s="60">
        <v>4</v>
      </c>
      <c r="CI20" s="284"/>
      <c r="CJ20" s="285"/>
      <c r="CK20" s="409">
        <f t="shared" si="0"/>
        <v>1100001</v>
      </c>
      <c r="CL20" s="347"/>
      <c r="CM20" s="347"/>
      <c r="CN20" s="57" t="s">
        <v>98</v>
      </c>
      <c r="CO20" s="348">
        <v>3300000</v>
      </c>
      <c r="CP20" s="348"/>
      <c r="CQ20" s="576"/>
      <c r="CR20" s="583" t="s">
        <v>112</v>
      </c>
      <c r="CS20" s="584"/>
      <c r="CT20" s="584"/>
      <c r="CU20" s="584"/>
      <c r="CV20" s="585"/>
      <c r="CW20" s="340">
        <f>IF($P$18-900000&gt;0,$P$18-900000,0)</f>
        <v>0</v>
      </c>
      <c r="CX20" s="341"/>
      <c r="CY20" s="342"/>
      <c r="CZ20" s="340">
        <f>IF($P$20-900000&gt;0,$P$20-900000,0)</f>
        <v>0</v>
      </c>
      <c r="DA20" s="341"/>
      <c r="DB20" s="342"/>
      <c r="DC20" s="340">
        <f>IF($P$22-900000&gt;0,$P$22-900000,0)</f>
        <v>0</v>
      </c>
      <c r="DD20" s="341"/>
      <c r="DE20" s="342"/>
      <c r="DF20" s="340">
        <f>IF($P$24-900000&gt;0,$P$24-900000,0)</f>
        <v>0</v>
      </c>
      <c r="DG20" s="341"/>
      <c r="DH20" s="342"/>
      <c r="DI20" s="340">
        <f>IF($P$26-900000&gt;0,$P$26-900000,0)</f>
        <v>0</v>
      </c>
      <c r="DJ20" s="341"/>
      <c r="DK20" s="343"/>
    </row>
    <row r="21" spans="2:127" ht="18" customHeight="1" x14ac:dyDescent="0.15">
      <c r="B21" s="307"/>
      <c r="C21" s="308"/>
      <c r="D21" s="309"/>
      <c r="E21" s="312"/>
      <c r="F21" s="313"/>
      <c r="G21" s="315"/>
      <c r="H21" s="312"/>
      <c r="I21" s="313"/>
      <c r="J21" s="315"/>
      <c r="K21" s="318"/>
      <c r="L21" s="319"/>
      <c r="M21" s="319"/>
      <c r="N21" s="319"/>
      <c r="O21" s="46"/>
      <c r="P21" s="355"/>
      <c r="Q21" s="356"/>
      <c r="R21" s="356"/>
      <c r="S21" s="356"/>
      <c r="T21" s="46"/>
      <c r="U21" s="604"/>
      <c r="V21" s="605"/>
      <c r="W21" s="45"/>
      <c r="X21" s="706"/>
      <c r="Y21" s="611"/>
      <c r="Z21" s="611"/>
      <c r="AA21" s="36"/>
      <c r="AB21" s="596"/>
      <c r="AC21" s="597"/>
      <c r="AD21" s="597"/>
      <c r="AE21" s="42"/>
      <c r="AJ21" s="378"/>
      <c r="AK21" s="379"/>
      <c r="AL21" s="361"/>
      <c r="AM21" s="381"/>
      <c r="AN21" s="360"/>
      <c r="AO21" s="361"/>
      <c r="AP21" s="280"/>
      <c r="AQ21" s="280"/>
      <c r="AR21" s="280"/>
      <c r="AS21" s="280"/>
      <c r="AT21" s="365"/>
      <c r="AU21" s="366"/>
      <c r="AV21" s="366"/>
      <c r="AW21" s="367"/>
      <c r="AX21" s="370"/>
      <c r="AY21" s="371"/>
      <c r="AZ21" s="371"/>
      <c r="BA21" s="401"/>
      <c r="BB21" s="10">
        <v>5</v>
      </c>
      <c r="BC21" s="279">
        <v>1622000</v>
      </c>
      <c r="BD21" s="279"/>
      <c r="BE21" s="279"/>
      <c r="BF21" s="60" t="s">
        <v>21</v>
      </c>
      <c r="BG21" s="279">
        <v>1623999</v>
      </c>
      <c r="BH21" s="279"/>
      <c r="BI21" s="279"/>
      <c r="BJ21" s="279">
        <v>1072000</v>
      </c>
      <c r="BK21" s="279"/>
      <c r="BL21" s="279"/>
      <c r="BM21" s="279"/>
      <c r="BN21" s="279"/>
      <c r="BO21" s="279"/>
      <c r="BP21" s="279"/>
      <c r="BQ21" s="279"/>
      <c r="BR21" s="344"/>
      <c r="BS21" s="280">
        <f>BJ21</f>
        <v>1072000</v>
      </c>
      <c r="BT21" s="280"/>
      <c r="BU21" s="280"/>
      <c r="BV21" s="280">
        <f>BJ21</f>
        <v>1072000</v>
      </c>
      <c r="BW21" s="280"/>
      <c r="BX21" s="280"/>
      <c r="BY21" s="280">
        <f>BJ21</f>
        <v>1072000</v>
      </c>
      <c r="BZ21" s="280"/>
      <c r="CA21" s="280"/>
      <c r="CB21" s="280">
        <f>BJ21</f>
        <v>1072000</v>
      </c>
      <c r="CC21" s="280"/>
      <c r="CD21" s="280"/>
      <c r="CE21" s="280">
        <f>BJ21</f>
        <v>1072000</v>
      </c>
      <c r="CF21" s="280"/>
      <c r="CG21" s="280"/>
      <c r="CH21" s="60">
        <v>5</v>
      </c>
      <c r="CI21" s="284"/>
      <c r="CJ21" s="285"/>
      <c r="CK21" s="409">
        <f t="shared" si="0"/>
        <v>3300001</v>
      </c>
      <c r="CL21" s="347"/>
      <c r="CM21" s="347"/>
      <c r="CN21" s="57" t="s">
        <v>98</v>
      </c>
      <c r="CO21" s="348">
        <v>4100000</v>
      </c>
      <c r="CP21" s="348"/>
      <c r="CQ21" s="576"/>
      <c r="CR21" s="586" t="s">
        <v>113</v>
      </c>
      <c r="CS21" s="587"/>
      <c r="CT21" s="587"/>
      <c r="CU21" s="587"/>
      <c r="CV21" s="588"/>
      <c r="CW21" s="340">
        <f>$P$18*0.75-75000</f>
        <v>-75000</v>
      </c>
      <c r="CX21" s="341"/>
      <c r="CY21" s="342"/>
      <c r="CZ21" s="340">
        <f>$P$20*0.75-75000</f>
        <v>-75000</v>
      </c>
      <c r="DA21" s="341"/>
      <c r="DB21" s="342"/>
      <c r="DC21" s="340">
        <f>$P$22*0.75-75000</f>
        <v>-75000</v>
      </c>
      <c r="DD21" s="341"/>
      <c r="DE21" s="342"/>
      <c r="DF21" s="340">
        <f>$P$24*0.75-75000</f>
        <v>-75000</v>
      </c>
      <c r="DG21" s="341"/>
      <c r="DH21" s="342"/>
      <c r="DI21" s="340">
        <f>$P$26*0.75-75000</f>
        <v>-75000</v>
      </c>
      <c r="DJ21" s="341"/>
      <c r="DK21" s="343"/>
    </row>
    <row r="22" spans="2:127" ht="18" customHeight="1" x14ac:dyDescent="0.15">
      <c r="B22" s="386" t="s">
        <v>26</v>
      </c>
      <c r="C22" s="387"/>
      <c r="D22" s="388"/>
      <c r="E22" s="353">
        <f>試算入力用!$E$22</f>
        <v>0</v>
      </c>
      <c r="F22" s="354"/>
      <c r="G22" s="352" t="s">
        <v>23</v>
      </c>
      <c r="H22" s="353">
        <f>試算入力用!$H$22</f>
        <v>0</v>
      </c>
      <c r="I22" s="354"/>
      <c r="J22" s="352" t="s">
        <v>23</v>
      </c>
      <c r="K22" s="357">
        <f>試算入力用!$K$22</f>
        <v>0</v>
      </c>
      <c r="L22" s="358"/>
      <c r="M22" s="358"/>
      <c r="N22" s="358"/>
      <c r="O22" s="43" t="s">
        <v>24</v>
      </c>
      <c r="P22" s="357">
        <f>試算入力用!$P$22</f>
        <v>0</v>
      </c>
      <c r="Q22" s="358"/>
      <c r="R22" s="358"/>
      <c r="S22" s="358"/>
      <c r="T22" s="43" t="s">
        <v>24</v>
      </c>
      <c r="U22" s="606">
        <f>試算入力用!$U$22</f>
        <v>0</v>
      </c>
      <c r="V22" s="607"/>
      <c r="W22" s="43" t="s">
        <v>24</v>
      </c>
      <c r="X22" s="707">
        <f>IF(E22="","",SUM(AP22:BA23)-$AX$12)</f>
        <v>0</v>
      </c>
      <c r="Y22" s="595"/>
      <c r="Z22" s="595"/>
      <c r="AA22" s="37" t="s">
        <v>24</v>
      </c>
      <c r="AB22" s="594">
        <f>IF(X22="","",IF(X22&lt;=430000,0,X22-430000))</f>
        <v>0</v>
      </c>
      <c r="AC22" s="595"/>
      <c r="AD22" s="595"/>
      <c r="AE22" s="37" t="s">
        <v>24</v>
      </c>
      <c r="AJ22" s="378">
        <f>IF(K22="","",IF(K22&lt;BC18,1,IF(K22&lt;BC19,2,IF(K22&lt;BC20,3,IF(K22&lt;BC21,4,IF(K22&lt;BC22,5,IF(K22&lt;BC23,6,"")))))))</f>
        <v>1</v>
      </c>
      <c r="AK22" s="379" t="str">
        <f>IF(K22="","",IF(K22&lt;$BC$23,"",IF(K22&lt;$BC$24,7,IF(K22&lt;$BC$25,8,IF(K22&lt;$BC$26,9,IF(K22&lt;$BC$27,10,IF(K22&gt;=$BC$27,11,"")))))))</f>
        <v/>
      </c>
      <c r="AL22" s="361">
        <f>IF(AJ22="",AK22,AJ22)</f>
        <v>1</v>
      </c>
      <c r="AM22" s="380" t="str">
        <f t="shared" ref="AM22" si="2">IF(P22="","",IF(E22&lt;65,"",IF(E22&gt;=65,IF(P22&lt;=$CO$17,1,IF(P22&lt;=$CO$18,2,IF(P22&lt;=$CO$19,3,IF(P22&lt;=$CO$20,4,IF(P22&lt;=$CO$21,5,IF(P22&lt;=$CO$22,6,IF(P22&lt;=$CO$23,7,IF(P22&gt;=$CK$24,8,"")))))))))))</f>
        <v/>
      </c>
      <c r="AN22" s="359">
        <f>IF($P$22="","",IF($E$22-1&gt;=65,"",IF($E$22-1&lt;65,IF($P$22&lt;=$CO$25,9,IF($P$22&lt;=$CO$26,10,IF($P$22&lt;=$CO$27,11,IF($P$22&lt;=$CO$28,12,IF($P$22&lt;=$CO$29,13,IF($P$22&lt;=$CO$30,14,IF($P$22&lt;=$CO$31,15,IF($P$22&gt;=$CK$32,16,"")))))))))))</f>
        <v>9</v>
      </c>
      <c r="AO22" s="361">
        <f>IF(AM22="",AN22,AM22)</f>
        <v>9</v>
      </c>
      <c r="AP22" s="280">
        <f>IF(AL22="",0,VLOOKUP(AL22,BB17:CG27,24,0))</f>
        <v>0</v>
      </c>
      <c r="AQ22" s="280"/>
      <c r="AR22" s="280"/>
      <c r="AS22" s="280"/>
      <c r="AT22" s="362">
        <f>IF(AO22="",0,VLOOKUP(AO22,CH17:DK32,22,0))</f>
        <v>0</v>
      </c>
      <c r="AU22" s="363"/>
      <c r="AV22" s="363"/>
      <c r="AW22" s="364"/>
      <c r="AX22" s="368">
        <f>U22</f>
        <v>0</v>
      </c>
      <c r="AY22" s="369"/>
      <c r="AZ22" s="369"/>
      <c r="BA22" s="423"/>
      <c r="BB22" s="10">
        <v>6</v>
      </c>
      <c r="BC22" s="279">
        <v>1624000</v>
      </c>
      <c r="BD22" s="279"/>
      <c r="BE22" s="279"/>
      <c r="BF22" s="60" t="s">
        <v>21</v>
      </c>
      <c r="BG22" s="279">
        <v>1627999</v>
      </c>
      <c r="BH22" s="279"/>
      <c r="BI22" s="279"/>
      <c r="BJ22" s="279">
        <v>1074000</v>
      </c>
      <c r="BK22" s="279"/>
      <c r="BL22" s="279"/>
      <c r="BM22" s="279"/>
      <c r="BN22" s="279"/>
      <c r="BO22" s="279"/>
      <c r="BP22" s="279"/>
      <c r="BQ22" s="279"/>
      <c r="BR22" s="344"/>
      <c r="BS22" s="280">
        <f>BJ22</f>
        <v>1074000</v>
      </c>
      <c r="BT22" s="280"/>
      <c r="BU22" s="280"/>
      <c r="BV22" s="280">
        <f>BJ22</f>
        <v>1074000</v>
      </c>
      <c r="BW22" s="280"/>
      <c r="BX22" s="280"/>
      <c r="BY22" s="280">
        <f>BJ22</f>
        <v>1074000</v>
      </c>
      <c r="BZ22" s="280"/>
      <c r="CA22" s="280"/>
      <c r="CB22" s="280">
        <f>BJ22</f>
        <v>1074000</v>
      </c>
      <c r="CC22" s="280"/>
      <c r="CD22" s="280"/>
      <c r="CE22" s="280">
        <f>BJ22</f>
        <v>1074000</v>
      </c>
      <c r="CF22" s="280"/>
      <c r="CG22" s="280"/>
      <c r="CH22" s="60">
        <v>6</v>
      </c>
      <c r="CI22" s="284"/>
      <c r="CJ22" s="285"/>
      <c r="CK22" s="409">
        <f t="shared" si="0"/>
        <v>4100001</v>
      </c>
      <c r="CL22" s="347"/>
      <c r="CM22" s="347"/>
      <c r="CN22" s="57" t="s">
        <v>98</v>
      </c>
      <c r="CO22" s="348">
        <v>7700000</v>
      </c>
      <c r="CP22" s="348"/>
      <c r="CQ22" s="576"/>
      <c r="CR22" s="586" t="s">
        <v>114</v>
      </c>
      <c r="CS22" s="587"/>
      <c r="CT22" s="587"/>
      <c r="CU22" s="587"/>
      <c r="CV22" s="588"/>
      <c r="CW22" s="340">
        <f>$P$18*0.85-485000</f>
        <v>-485000</v>
      </c>
      <c r="CX22" s="341"/>
      <c r="CY22" s="342"/>
      <c r="CZ22" s="340">
        <f>$P$20*0.85-485000</f>
        <v>-485000</v>
      </c>
      <c r="DA22" s="341"/>
      <c r="DB22" s="342"/>
      <c r="DC22" s="340">
        <f>$P$22*0.85-485000</f>
        <v>-485000</v>
      </c>
      <c r="DD22" s="341"/>
      <c r="DE22" s="342"/>
      <c r="DF22" s="340">
        <f>$P$24*0.85-485000</f>
        <v>-485000</v>
      </c>
      <c r="DG22" s="341"/>
      <c r="DH22" s="342"/>
      <c r="DI22" s="340">
        <f>$P$26*0.85-485000</f>
        <v>-485000</v>
      </c>
      <c r="DJ22" s="341"/>
      <c r="DK22" s="343"/>
    </row>
    <row r="23" spans="2:127" ht="18" customHeight="1" x14ac:dyDescent="0.15">
      <c r="B23" s="307"/>
      <c r="C23" s="308"/>
      <c r="D23" s="309"/>
      <c r="E23" s="312"/>
      <c r="F23" s="313"/>
      <c r="G23" s="315"/>
      <c r="H23" s="312"/>
      <c r="I23" s="313"/>
      <c r="J23" s="315"/>
      <c r="K23" s="318"/>
      <c r="L23" s="319"/>
      <c r="M23" s="319"/>
      <c r="N23" s="319"/>
      <c r="O23" s="46"/>
      <c r="P23" s="318"/>
      <c r="Q23" s="319"/>
      <c r="R23" s="319"/>
      <c r="S23" s="319"/>
      <c r="T23" s="46"/>
      <c r="U23" s="602"/>
      <c r="V23" s="603"/>
      <c r="W23" s="46"/>
      <c r="X23" s="706"/>
      <c r="Y23" s="611"/>
      <c r="Z23" s="611"/>
      <c r="AA23" s="36"/>
      <c r="AB23" s="596"/>
      <c r="AC23" s="597"/>
      <c r="AD23" s="597"/>
      <c r="AE23" s="42"/>
      <c r="AJ23" s="378"/>
      <c r="AK23" s="379"/>
      <c r="AL23" s="361"/>
      <c r="AM23" s="381"/>
      <c r="AN23" s="360"/>
      <c r="AO23" s="361"/>
      <c r="AP23" s="280"/>
      <c r="AQ23" s="280"/>
      <c r="AR23" s="280"/>
      <c r="AS23" s="280"/>
      <c r="AT23" s="365"/>
      <c r="AU23" s="366"/>
      <c r="AV23" s="366"/>
      <c r="AW23" s="367"/>
      <c r="AX23" s="370"/>
      <c r="AY23" s="371"/>
      <c r="AZ23" s="371"/>
      <c r="BA23" s="401"/>
      <c r="BB23" s="10">
        <v>7</v>
      </c>
      <c r="BC23" s="279">
        <v>1628000</v>
      </c>
      <c r="BD23" s="279"/>
      <c r="BE23" s="279"/>
      <c r="BF23" s="60" t="s">
        <v>21</v>
      </c>
      <c r="BG23" s="279">
        <v>1799999</v>
      </c>
      <c r="BH23" s="279"/>
      <c r="BI23" s="279"/>
      <c r="BJ23" s="219" t="s">
        <v>85</v>
      </c>
      <c r="BK23" s="219"/>
      <c r="BL23" s="219"/>
      <c r="BM23" s="219"/>
      <c r="BN23" s="219"/>
      <c r="BO23" s="219"/>
      <c r="BP23" s="219"/>
      <c r="BQ23" s="219"/>
      <c r="BR23" s="239"/>
      <c r="BS23" s="280">
        <f>(ROUNDDOWN(K18/4,-3)*2.4)+100000</f>
        <v>100000</v>
      </c>
      <c r="BT23" s="280"/>
      <c r="BU23" s="280"/>
      <c r="BV23" s="280">
        <f>(ROUNDDOWN(K20/4,-3)*2.4)+100000</f>
        <v>100000</v>
      </c>
      <c r="BW23" s="280"/>
      <c r="BX23" s="280"/>
      <c r="BY23" s="280">
        <f>(ROUNDDOWN(K22/4,-3)*2.4)+100000</f>
        <v>100000</v>
      </c>
      <c r="BZ23" s="280"/>
      <c r="CA23" s="280"/>
      <c r="CB23" s="280">
        <f>(ROUNDDOWN(K24/4,-3)*2.4)+100000</f>
        <v>100000</v>
      </c>
      <c r="CC23" s="280"/>
      <c r="CD23" s="280"/>
      <c r="CE23" s="280">
        <f>(ROUNDDOWN(K26/4,-3)*2.4)+100000</f>
        <v>100000</v>
      </c>
      <c r="CF23" s="280"/>
      <c r="CG23" s="280"/>
      <c r="CH23" s="60">
        <v>7</v>
      </c>
      <c r="CI23" s="284"/>
      <c r="CJ23" s="285"/>
      <c r="CK23" s="409">
        <f t="shared" si="0"/>
        <v>7700001</v>
      </c>
      <c r="CL23" s="347"/>
      <c r="CM23" s="347"/>
      <c r="CN23" s="57" t="s">
        <v>98</v>
      </c>
      <c r="CO23" s="348">
        <v>10000000</v>
      </c>
      <c r="CP23" s="348"/>
      <c r="CQ23" s="576"/>
      <c r="CR23" s="591" t="s">
        <v>115</v>
      </c>
      <c r="CS23" s="592"/>
      <c r="CT23" s="592"/>
      <c r="CU23" s="592"/>
      <c r="CV23" s="593"/>
      <c r="CW23" s="340">
        <f>$P$18*0.95-1255000</f>
        <v>-1255000</v>
      </c>
      <c r="CX23" s="341"/>
      <c r="CY23" s="342"/>
      <c r="CZ23" s="340">
        <f>$P$20*0.95-1255000</f>
        <v>-1255000</v>
      </c>
      <c r="DA23" s="341"/>
      <c r="DB23" s="342"/>
      <c r="DC23" s="340">
        <f>$P$22*0.95-1255000</f>
        <v>-1255000</v>
      </c>
      <c r="DD23" s="341"/>
      <c r="DE23" s="342"/>
      <c r="DF23" s="340">
        <f>$P$24*0.95-1255000</f>
        <v>-1255000</v>
      </c>
      <c r="DG23" s="341"/>
      <c r="DH23" s="342"/>
      <c r="DI23" s="340">
        <f>$P$26*0.95-1255000</f>
        <v>-1255000</v>
      </c>
      <c r="DJ23" s="341"/>
      <c r="DK23" s="343"/>
    </row>
    <row r="24" spans="2:127" ht="18" customHeight="1" thickBot="1" x14ac:dyDescent="0.2">
      <c r="B24" s="386" t="s">
        <v>27</v>
      </c>
      <c r="C24" s="387"/>
      <c r="D24" s="388"/>
      <c r="E24" s="353">
        <f>試算入力用!$E$24</f>
        <v>0</v>
      </c>
      <c r="F24" s="354"/>
      <c r="G24" s="352" t="s">
        <v>23</v>
      </c>
      <c r="H24" s="353">
        <f>試算入力用!$H$24</f>
        <v>0</v>
      </c>
      <c r="I24" s="354"/>
      <c r="J24" s="352" t="s">
        <v>23</v>
      </c>
      <c r="K24" s="357">
        <f>試算入力用!$K$24</f>
        <v>0</v>
      </c>
      <c r="L24" s="358"/>
      <c r="M24" s="358"/>
      <c r="N24" s="358"/>
      <c r="O24" s="43" t="s">
        <v>24</v>
      </c>
      <c r="P24" s="357">
        <f>試算入力用!$P$24</f>
        <v>0</v>
      </c>
      <c r="Q24" s="358"/>
      <c r="R24" s="358"/>
      <c r="S24" s="358"/>
      <c r="T24" s="43" t="s">
        <v>24</v>
      </c>
      <c r="U24" s="606">
        <f>試算入力用!$U$24</f>
        <v>0</v>
      </c>
      <c r="V24" s="607"/>
      <c r="W24" s="45" t="s">
        <v>24</v>
      </c>
      <c r="X24" s="707">
        <f>IF(E24="","",SUM(AP24:BA25)-$AX$13)</f>
        <v>0</v>
      </c>
      <c r="Y24" s="595"/>
      <c r="Z24" s="595"/>
      <c r="AA24" s="37" t="s">
        <v>24</v>
      </c>
      <c r="AB24" s="594">
        <f>IF(X24="","",IF(X24&lt;=430000,0,X24-430000))</f>
        <v>0</v>
      </c>
      <c r="AC24" s="595"/>
      <c r="AD24" s="595"/>
      <c r="AE24" s="37" t="s">
        <v>24</v>
      </c>
      <c r="AJ24" s="378">
        <f>IF(K24="","",IF(K24&lt;BC18,1,IF(K24&lt;BC19,2,IF(K24&lt;BC20,3,IF(K24&lt;BC21,4,IF(K24&lt;BC22,5,IF(K24&lt;BC23,6,"")))))))</f>
        <v>1</v>
      </c>
      <c r="AK24" s="379" t="str">
        <f>IF(K24="","",IF(K24&lt;$BC$23,"",IF(K24&lt;$BC$24,7,IF(K24&lt;$BC$25,8,IF(K24&lt;$BC$26,9,IF(K24&lt;$BC$27,10,IF(K24&gt;=$BC$27,11,"")))))))</f>
        <v/>
      </c>
      <c r="AL24" s="361">
        <f>IF(AJ24="",AK24,AJ24)</f>
        <v>1</v>
      </c>
      <c r="AM24" s="380" t="str">
        <f t="shared" ref="AM24" si="3">IF(P24="","",IF(E24&lt;65,"",IF(E24&gt;=65,IF(P24&lt;=$CO$17,1,IF(P24&lt;=$CO$18,2,IF(P24&lt;=$CO$19,3,IF(P24&lt;=$CO$20,4,IF(P24&lt;=$CO$21,5,IF(P24&lt;=$CO$22,6,IF(P24&lt;=$CO$23,7,IF(P24&gt;=$CK$24,8,"")))))))))))</f>
        <v/>
      </c>
      <c r="AN24" s="359">
        <f>IF($P$24="","",IF($E$24-1&gt;=65,"",IF($E$24-1&lt;65,IF($P$24&lt;=$CO$25,9,IF($P$24&lt;=$CO$26,10,IF($P$24&lt;=$CO$27,11,IF($P$24&lt;=$CO$28,12,IF($P$24&lt;=$CO$29,13,IF($P$24&lt;=$CO$30,14,IF($P$24&lt;=$CO$31,15,IF($P$24&gt;=$CK$32,16,"")))))))))))</f>
        <v>9</v>
      </c>
      <c r="AO24" s="361">
        <f>IF(AM24="",AN24,AM24)</f>
        <v>9</v>
      </c>
      <c r="AP24" s="280">
        <f>IF(AL24="",0,VLOOKUP(AL24,BB17:CG27,27,0))</f>
        <v>0</v>
      </c>
      <c r="AQ24" s="280"/>
      <c r="AR24" s="280"/>
      <c r="AS24" s="280"/>
      <c r="AT24" s="362">
        <f>IF(AO24="",0,VLOOKUP(AO24,CH17:DK32,25,0))</f>
        <v>0</v>
      </c>
      <c r="AU24" s="363"/>
      <c r="AV24" s="363"/>
      <c r="AW24" s="364"/>
      <c r="AX24" s="368">
        <f>U24</f>
        <v>0</v>
      </c>
      <c r="AY24" s="369"/>
      <c r="AZ24" s="369"/>
      <c r="BA24" s="423"/>
      <c r="BB24" s="10">
        <v>8</v>
      </c>
      <c r="BC24" s="279">
        <v>1800000</v>
      </c>
      <c r="BD24" s="279"/>
      <c r="BE24" s="279"/>
      <c r="BF24" s="60" t="s">
        <v>21</v>
      </c>
      <c r="BG24" s="279">
        <v>3599999</v>
      </c>
      <c r="BH24" s="279"/>
      <c r="BI24" s="279"/>
      <c r="BJ24" s="219" t="s">
        <v>86</v>
      </c>
      <c r="BK24" s="219"/>
      <c r="BL24" s="219"/>
      <c r="BM24" s="219"/>
      <c r="BN24" s="219"/>
      <c r="BO24" s="219"/>
      <c r="BP24" s="219"/>
      <c r="BQ24" s="219"/>
      <c r="BR24" s="239"/>
      <c r="BS24" s="280">
        <f>ROUNDDOWN(K18/4,-3)*2.8-80000</f>
        <v>-80000</v>
      </c>
      <c r="BT24" s="280"/>
      <c r="BU24" s="280"/>
      <c r="BV24" s="280">
        <f>ROUNDDOWN(K20/4,-3)*2.8-80000</f>
        <v>-80000</v>
      </c>
      <c r="BW24" s="280"/>
      <c r="BX24" s="280"/>
      <c r="BY24" s="280">
        <f>ROUNDDOWN(K22/4,-3)*2.8-80000</f>
        <v>-80000</v>
      </c>
      <c r="BZ24" s="280"/>
      <c r="CA24" s="280"/>
      <c r="CB24" s="280">
        <f>ROUNDDOWN(K24/4,-3)*2.8-80000</f>
        <v>-80000</v>
      </c>
      <c r="CC24" s="280"/>
      <c r="CD24" s="280"/>
      <c r="CE24" s="280">
        <f>ROUNDDOWN(K26/4,-3)*2.8-80000</f>
        <v>-80000</v>
      </c>
      <c r="CF24" s="280"/>
      <c r="CG24" s="280"/>
      <c r="CH24" s="66">
        <v>8</v>
      </c>
      <c r="CI24" s="286"/>
      <c r="CJ24" s="287"/>
      <c r="CK24" s="486">
        <f t="shared" si="0"/>
        <v>10000001</v>
      </c>
      <c r="CL24" s="413"/>
      <c r="CM24" s="413"/>
      <c r="CN24" s="57" t="s">
        <v>98</v>
      </c>
      <c r="CO24" s="598"/>
      <c r="CP24" s="598"/>
      <c r="CQ24" s="599"/>
      <c r="CR24" s="545" t="s">
        <v>116</v>
      </c>
      <c r="CS24" s="411"/>
      <c r="CT24" s="411"/>
      <c r="CU24" s="411"/>
      <c r="CV24" s="412"/>
      <c r="CW24" s="434">
        <f>$P$18-1755000</f>
        <v>-1755000</v>
      </c>
      <c r="CX24" s="435"/>
      <c r="CY24" s="436"/>
      <c r="CZ24" s="434">
        <f>$P$20-1755000</f>
        <v>-1755000</v>
      </c>
      <c r="DA24" s="435"/>
      <c r="DB24" s="436"/>
      <c r="DC24" s="434">
        <f>$P$22-1755000</f>
        <v>-1755000</v>
      </c>
      <c r="DD24" s="435"/>
      <c r="DE24" s="436"/>
      <c r="DF24" s="434">
        <f>$P$24-1755000</f>
        <v>-1755000</v>
      </c>
      <c r="DG24" s="435"/>
      <c r="DH24" s="436"/>
      <c r="DI24" s="434">
        <f>$P$26-1755000</f>
        <v>-1755000</v>
      </c>
      <c r="DJ24" s="435"/>
      <c r="DK24" s="437"/>
    </row>
    <row r="25" spans="2:127" ht="18" customHeight="1" x14ac:dyDescent="0.15">
      <c r="B25" s="307"/>
      <c r="C25" s="308"/>
      <c r="D25" s="309"/>
      <c r="E25" s="312"/>
      <c r="F25" s="313"/>
      <c r="G25" s="315"/>
      <c r="H25" s="312"/>
      <c r="I25" s="313"/>
      <c r="J25" s="315"/>
      <c r="K25" s="318"/>
      <c r="L25" s="319"/>
      <c r="M25" s="319"/>
      <c r="N25" s="319"/>
      <c r="O25" s="46"/>
      <c r="P25" s="318"/>
      <c r="Q25" s="319"/>
      <c r="R25" s="319"/>
      <c r="S25" s="319"/>
      <c r="T25" s="46"/>
      <c r="U25" s="602"/>
      <c r="V25" s="603"/>
      <c r="W25" s="45"/>
      <c r="X25" s="708"/>
      <c r="Y25" s="597"/>
      <c r="Z25" s="597"/>
      <c r="AA25" s="36"/>
      <c r="AB25" s="596"/>
      <c r="AC25" s="597"/>
      <c r="AD25" s="597"/>
      <c r="AE25" s="36"/>
      <c r="AJ25" s="378"/>
      <c r="AK25" s="379"/>
      <c r="AL25" s="361"/>
      <c r="AM25" s="381"/>
      <c r="AN25" s="360"/>
      <c r="AO25" s="361"/>
      <c r="AP25" s="280"/>
      <c r="AQ25" s="280"/>
      <c r="AR25" s="280"/>
      <c r="AS25" s="280"/>
      <c r="AT25" s="365"/>
      <c r="AU25" s="366"/>
      <c r="AV25" s="366"/>
      <c r="AW25" s="367"/>
      <c r="AX25" s="370"/>
      <c r="AY25" s="371"/>
      <c r="AZ25" s="371"/>
      <c r="BA25" s="401"/>
      <c r="BB25" s="10">
        <v>9</v>
      </c>
      <c r="BC25" s="279">
        <v>3600000</v>
      </c>
      <c r="BD25" s="279"/>
      <c r="BE25" s="279"/>
      <c r="BF25" s="60" t="s">
        <v>21</v>
      </c>
      <c r="BG25" s="279">
        <v>6599999</v>
      </c>
      <c r="BH25" s="279"/>
      <c r="BI25" s="279"/>
      <c r="BJ25" s="219" t="s">
        <v>87</v>
      </c>
      <c r="BK25" s="219"/>
      <c r="BL25" s="219"/>
      <c r="BM25" s="219"/>
      <c r="BN25" s="219"/>
      <c r="BO25" s="219"/>
      <c r="BP25" s="219"/>
      <c r="BQ25" s="219"/>
      <c r="BR25" s="239"/>
      <c r="BS25" s="280">
        <f>ROUNDDOWN(K18/4,-3)*3.2-440000</f>
        <v>-440000</v>
      </c>
      <c r="BT25" s="280"/>
      <c r="BU25" s="280"/>
      <c r="BV25" s="280">
        <f>ROUNDDOWN(K20/4,-3)*3.2-440000</f>
        <v>-440000</v>
      </c>
      <c r="BW25" s="280"/>
      <c r="BX25" s="280"/>
      <c r="BY25" s="280">
        <f>ROUNDDOWN(K22/4,-3)*3.2-440000</f>
        <v>-440000</v>
      </c>
      <c r="BZ25" s="280"/>
      <c r="CA25" s="280"/>
      <c r="CB25" s="280">
        <f>ROUNDDOWN(K24/4,-3)*3.2-440000</f>
        <v>-440000</v>
      </c>
      <c r="CC25" s="280"/>
      <c r="CD25" s="280"/>
      <c r="CE25" s="280">
        <f>ROUNDDOWN(K26/4,-3)*3.2-440000</f>
        <v>-440000</v>
      </c>
      <c r="CF25" s="280"/>
      <c r="CG25" s="281"/>
      <c r="CH25" s="64">
        <v>9</v>
      </c>
      <c r="CI25" s="702">
        <v>64</v>
      </c>
      <c r="CJ25" s="703"/>
      <c r="CK25" s="409"/>
      <c r="CL25" s="347"/>
      <c r="CM25" s="347"/>
      <c r="CN25" s="65" t="s">
        <v>98</v>
      </c>
      <c r="CO25" s="325">
        <v>400000</v>
      </c>
      <c r="CP25" s="325"/>
      <c r="CQ25" s="325"/>
      <c r="CR25" s="327" t="s">
        <v>95</v>
      </c>
      <c r="CS25" s="328"/>
      <c r="CT25" s="328"/>
      <c r="CU25" s="328"/>
      <c r="CV25" s="328"/>
      <c r="CW25" s="300">
        <v>0</v>
      </c>
      <c r="CX25" s="301"/>
      <c r="CY25" s="302"/>
      <c r="CZ25" s="300">
        <v>0</v>
      </c>
      <c r="DA25" s="301"/>
      <c r="DB25" s="302"/>
      <c r="DC25" s="300">
        <v>0</v>
      </c>
      <c r="DD25" s="301"/>
      <c r="DE25" s="302"/>
      <c r="DF25" s="300">
        <v>0</v>
      </c>
      <c r="DG25" s="301"/>
      <c r="DH25" s="302"/>
      <c r="DI25" s="300">
        <v>0</v>
      </c>
      <c r="DJ25" s="301"/>
      <c r="DK25" s="303"/>
    </row>
    <row r="26" spans="2:127" ht="18" customHeight="1" x14ac:dyDescent="0.15">
      <c r="B26" s="386" t="s">
        <v>28</v>
      </c>
      <c r="C26" s="387"/>
      <c r="D26" s="388"/>
      <c r="E26" s="353">
        <f>試算入力用!$E$26</f>
        <v>0</v>
      </c>
      <c r="F26" s="354"/>
      <c r="G26" s="352" t="s">
        <v>23</v>
      </c>
      <c r="H26" s="353">
        <f>試算入力用!$H$26</f>
        <v>0</v>
      </c>
      <c r="I26" s="354"/>
      <c r="J26" s="352" t="s">
        <v>23</v>
      </c>
      <c r="K26" s="355">
        <f>試算入力用!$K$26</f>
        <v>0</v>
      </c>
      <c r="L26" s="356"/>
      <c r="M26" s="356"/>
      <c r="N26" s="356"/>
      <c r="O26" s="43" t="s">
        <v>24</v>
      </c>
      <c r="P26" s="357">
        <f>試算入力用!$P$26</f>
        <v>0</v>
      </c>
      <c r="Q26" s="358"/>
      <c r="R26" s="358"/>
      <c r="S26" s="358"/>
      <c r="T26" s="43" t="s">
        <v>24</v>
      </c>
      <c r="U26" s="604">
        <f>試算入力用!$U$26</f>
        <v>0</v>
      </c>
      <c r="V26" s="605"/>
      <c r="W26" s="43" t="s">
        <v>24</v>
      </c>
      <c r="X26" s="707">
        <f>IF(E26="","",SUM(AP26:BA27)-$AX$14)</f>
        <v>0</v>
      </c>
      <c r="Y26" s="595"/>
      <c r="Z26" s="595"/>
      <c r="AA26" s="37" t="s">
        <v>24</v>
      </c>
      <c r="AB26" s="610">
        <f>IF(X26="","",IF(X26&lt;=430000,0,X26-430000))</f>
        <v>0</v>
      </c>
      <c r="AC26" s="611"/>
      <c r="AD26" s="611"/>
      <c r="AE26" s="42" t="s">
        <v>24</v>
      </c>
      <c r="AJ26" s="378">
        <f>IF(K26="","",IF(K26&lt;BC18,1,IF(K26&lt;BC19,2,IF(K26&lt;BC20,3,IF(K26&lt;BC21,4,IF(K26&lt;BC22,5,IF(K26&lt;BC23,6,"")))))))</f>
        <v>1</v>
      </c>
      <c r="AK26" s="379" t="str">
        <f>IF(K26="","",IF(K26&lt;$BC$23,"",IF(K26&lt;$BC$24,7,IF(K26&lt;$BC$25,8,IF(K26&lt;$BC$26,9,IF(K26&lt;$BC$27,10,IF(K26&gt;=$BC$27,11,"")))))))</f>
        <v/>
      </c>
      <c r="AL26" s="361">
        <f>IF(AJ26="",AK26,AJ26)</f>
        <v>1</v>
      </c>
      <c r="AM26" s="380" t="str">
        <f t="shared" ref="AM26" si="4">IF(P26="","",IF(E26&lt;65,"",IF(E26&gt;=65,IF(P26&lt;=$CO$17,1,IF(P26&lt;=$CO$18,2,IF(P26&lt;=$CO$19,3,IF(P26&lt;=$CO$20,4,IF(P26&lt;=$CO$21,5,IF(P26&lt;=$CO$22,6,IF(P26&lt;=$CO$23,7,IF(P26&gt;=$CK$24,8,"")))))))))))</f>
        <v/>
      </c>
      <c r="AN26" s="359">
        <f>IF($P$26="","",IF($E$26-1&gt;=65,"",IF($E$26-1&lt;65,IF($P$26&lt;=$CO$25,9,IF($P$26&lt;=$CO$26,10,IF($P$26&lt;=$CO$27,11,IF($P$26&lt;=$CO$28,12,IF($P$26&lt;=$CO$29,13,IF($P$26&lt;=$CO$30,14,IF($P$26&lt;=$CO$31,15,IF($P$26&gt;=$CK$32,16,"")))))))))))</f>
        <v>9</v>
      </c>
      <c r="AO26" s="361">
        <f>IF(AM26="",AN26,AM26)</f>
        <v>9</v>
      </c>
      <c r="AP26" s="280">
        <f>IF(AL26="",0,VLOOKUP(AL26,BB17:CG27,30,0))</f>
        <v>0</v>
      </c>
      <c r="AQ26" s="280"/>
      <c r="AR26" s="280"/>
      <c r="AS26" s="280"/>
      <c r="AT26" s="362">
        <f>IF(AO26="",0,VLOOKUP(AO26,CH17:DK32,28,0))</f>
        <v>0</v>
      </c>
      <c r="AU26" s="363"/>
      <c r="AV26" s="363"/>
      <c r="AW26" s="363"/>
      <c r="AX26" s="368">
        <f>U26</f>
        <v>0</v>
      </c>
      <c r="AY26" s="369"/>
      <c r="AZ26" s="369"/>
      <c r="BA26" s="423"/>
      <c r="BB26" s="10">
        <v>10</v>
      </c>
      <c r="BC26" s="279">
        <v>6600000</v>
      </c>
      <c r="BD26" s="279"/>
      <c r="BE26" s="279"/>
      <c r="BF26" s="60" t="s">
        <v>21</v>
      </c>
      <c r="BG26" s="279">
        <v>8499999</v>
      </c>
      <c r="BH26" s="279"/>
      <c r="BI26" s="279"/>
      <c r="BJ26" s="219" t="s">
        <v>88</v>
      </c>
      <c r="BK26" s="219"/>
      <c r="BL26" s="219"/>
      <c r="BM26" s="219"/>
      <c r="BN26" s="219"/>
      <c r="BO26" s="219"/>
      <c r="BP26" s="219"/>
      <c r="BQ26" s="219"/>
      <c r="BR26" s="239"/>
      <c r="BS26" s="280">
        <f>K18*0.9-1100000</f>
        <v>-1100000</v>
      </c>
      <c r="BT26" s="280"/>
      <c r="BU26" s="280"/>
      <c r="BV26" s="280">
        <f>K20*0.9-1100000</f>
        <v>-1100000</v>
      </c>
      <c r="BW26" s="280"/>
      <c r="BX26" s="280"/>
      <c r="BY26" s="280">
        <f>K22*0.9-1100000</f>
        <v>-1100000</v>
      </c>
      <c r="BZ26" s="280"/>
      <c r="CA26" s="280"/>
      <c r="CB26" s="280">
        <f>K24*0.9-1100000</f>
        <v>-1100000</v>
      </c>
      <c r="CC26" s="280"/>
      <c r="CD26" s="280"/>
      <c r="CE26" s="280">
        <f>K26*0.9-1100000</f>
        <v>-1100000</v>
      </c>
      <c r="CF26" s="280"/>
      <c r="CG26" s="281"/>
      <c r="CH26" s="60">
        <v>10</v>
      </c>
      <c r="CI26" s="405"/>
      <c r="CJ26" s="406"/>
      <c r="CK26" s="409">
        <f>CO25+1</f>
        <v>400001</v>
      </c>
      <c r="CL26" s="347"/>
      <c r="CM26" s="347"/>
      <c r="CN26" s="57" t="s">
        <v>98</v>
      </c>
      <c r="CO26" s="348">
        <v>500000</v>
      </c>
      <c r="CP26" s="348"/>
      <c r="CQ26" s="348"/>
      <c r="CR26" s="350" t="s">
        <v>117</v>
      </c>
      <c r="CS26" s="351"/>
      <c r="CT26" s="351"/>
      <c r="CU26" s="351"/>
      <c r="CV26" s="351"/>
      <c r="CW26" s="280">
        <f>IF($P$18-400000&gt;0,$P$18-400000,0)</f>
        <v>0</v>
      </c>
      <c r="CX26" s="280"/>
      <c r="CY26" s="280"/>
      <c r="CZ26" s="280">
        <f>IF($P$20-400000&gt;0,$P$20-400000,0)</f>
        <v>0</v>
      </c>
      <c r="DA26" s="280"/>
      <c r="DB26" s="280"/>
      <c r="DC26" s="280">
        <f>IF($P$22-400000&gt;0,$P$22-400000,0)</f>
        <v>0</v>
      </c>
      <c r="DD26" s="280"/>
      <c r="DE26" s="280"/>
      <c r="DF26" s="280">
        <f>IF($P$24-400000&gt;0,$P$24-400000,0)</f>
        <v>0</v>
      </c>
      <c r="DG26" s="280"/>
      <c r="DH26" s="280"/>
      <c r="DI26" s="280">
        <f>IF($P$26-400000&gt;0,$P$26-400000,0)</f>
        <v>0</v>
      </c>
      <c r="DJ26" s="280"/>
      <c r="DK26" s="281"/>
    </row>
    <row r="27" spans="2:127" ht="18" customHeight="1" thickBot="1" x14ac:dyDescent="0.2">
      <c r="B27" s="462"/>
      <c r="C27" s="463"/>
      <c r="D27" s="464"/>
      <c r="E27" s="552"/>
      <c r="F27" s="553"/>
      <c r="G27" s="554"/>
      <c r="H27" s="552"/>
      <c r="I27" s="553"/>
      <c r="J27" s="709"/>
      <c r="K27" s="355"/>
      <c r="L27" s="356"/>
      <c r="M27" s="356"/>
      <c r="N27" s="356"/>
      <c r="O27" s="45"/>
      <c r="P27" s="355"/>
      <c r="Q27" s="356"/>
      <c r="R27" s="356"/>
      <c r="S27" s="356"/>
      <c r="T27" s="45"/>
      <c r="U27" s="608"/>
      <c r="V27" s="609"/>
      <c r="W27" s="44"/>
      <c r="X27" s="710"/>
      <c r="Y27" s="613"/>
      <c r="Z27" s="613"/>
      <c r="AA27" s="38"/>
      <c r="AB27" s="612"/>
      <c r="AC27" s="613"/>
      <c r="AD27" s="613"/>
      <c r="AE27" s="38"/>
      <c r="AJ27" s="429"/>
      <c r="AK27" s="430"/>
      <c r="AL27" s="431"/>
      <c r="AM27" s="381"/>
      <c r="AN27" s="360"/>
      <c r="AO27" s="431"/>
      <c r="AP27" s="461"/>
      <c r="AQ27" s="461"/>
      <c r="AR27" s="461"/>
      <c r="AS27" s="461"/>
      <c r="AT27" s="616"/>
      <c r="AU27" s="617"/>
      <c r="AV27" s="617"/>
      <c r="AW27" s="617"/>
      <c r="AX27" s="424"/>
      <c r="AY27" s="425"/>
      <c r="AZ27" s="425"/>
      <c r="BA27" s="426"/>
      <c r="BB27" s="39">
        <v>11</v>
      </c>
      <c r="BC27" s="421">
        <v>8500000</v>
      </c>
      <c r="BD27" s="421"/>
      <c r="BE27" s="421"/>
      <c r="BF27" s="61" t="s">
        <v>21</v>
      </c>
      <c r="BG27" s="422"/>
      <c r="BH27" s="422"/>
      <c r="BI27" s="422"/>
      <c r="BJ27" s="421" t="s">
        <v>89</v>
      </c>
      <c r="BK27" s="421"/>
      <c r="BL27" s="421"/>
      <c r="BM27" s="421"/>
      <c r="BN27" s="421"/>
      <c r="BO27" s="421"/>
      <c r="BP27" s="421"/>
      <c r="BQ27" s="421"/>
      <c r="BR27" s="421"/>
      <c r="BS27" s="416">
        <f>K18-1950000</f>
        <v>-1950000</v>
      </c>
      <c r="BT27" s="417"/>
      <c r="BU27" s="417"/>
      <c r="BV27" s="416">
        <f>K20-1950000</f>
        <v>-1950000</v>
      </c>
      <c r="BW27" s="417"/>
      <c r="BX27" s="417"/>
      <c r="BY27" s="418">
        <f>K22-1950000</f>
        <v>-1950000</v>
      </c>
      <c r="BZ27" s="419"/>
      <c r="CA27" s="419"/>
      <c r="CB27" s="418">
        <f>K24-1950000</f>
        <v>-1950000</v>
      </c>
      <c r="CC27" s="419"/>
      <c r="CD27" s="419"/>
      <c r="CE27" s="418">
        <f>K26-1950000</f>
        <v>-1950000</v>
      </c>
      <c r="CF27" s="419"/>
      <c r="CG27" s="420"/>
      <c r="CH27" s="60">
        <v>11</v>
      </c>
      <c r="CI27" s="405"/>
      <c r="CJ27" s="406"/>
      <c r="CK27" s="409">
        <f t="shared" ref="CK27:CK32" si="5">CO26+1</f>
        <v>500001</v>
      </c>
      <c r="CL27" s="347"/>
      <c r="CM27" s="347"/>
      <c r="CN27" s="57" t="s">
        <v>98</v>
      </c>
      <c r="CO27" s="348">
        <v>600000</v>
      </c>
      <c r="CP27" s="348"/>
      <c r="CQ27" s="348"/>
      <c r="CR27" s="350" t="s">
        <v>117</v>
      </c>
      <c r="CS27" s="351"/>
      <c r="CT27" s="351"/>
      <c r="CU27" s="351"/>
      <c r="CV27" s="351"/>
      <c r="CW27" s="280">
        <f>IF($P$18-400000&gt;0,$P$18-400000,0)</f>
        <v>0</v>
      </c>
      <c r="CX27" s="280"/>
      <c r="CY27" s="280"/>
      <c r="CZ27" s="280">
        <f>IF($P$20-400000&gt;0,$P$20-400000,0)</f>
        <v>0</v>
      </c>
      <c r="DA27" s="280"/>
      <c r="DB27" s="280"/>
      <c r="DC27" s="280">
        <f>IF($P$22-400000&gt;0,$P$22-400000,0)</f>
        <v>0</v>
      </c>
      <c r="DD27" s="280"/>
      <c r="DE27" s="280"/>
      <c r="DF27" s="280">
        <f>IF($P$24-400000&gt;0,$P$24-400000,0)</f>
        <v>0</v>
      </c>
      <c r="DG27" s="280"/>
      <c r="DH27" s="280"/>
      <c r="DI27" s="280">
        <f>IF($P$26-400000&gt;0,$P$26-400000,0)</f>
        <v>0</v>
      </c>
      <c r="DJ27" s="280"/>
      <c r="DK27" s="281"/>
    </row>
    <row r="28" spans="2:127" ht="18" customHeight="1" x14ac:dyDescent="0.15">
      <c r="AM28" s="62"/>
      <c r="AP28" s="459">
        <f>SUM(AP18:AP27)</f>
        <v>0</v>
      </c>
      <c r="AQ28" s="459"/>
      <c r="AR28" s="459"/>
      <c r="AS28" s="459"/>
      <c r="AT28" s="459">
        <f>SUM(AT18:AT27)</f>
        <v>0</v>
      </c>
      <c r="AU28" s="459"/>
      <c r="AV28" s="459"/>
      <c r="AW28" s="459"/>
      <c r="AX28" s="460">
        <f>SUM(AX18:AX27)</f>
        <v>0</v>
      </c>
      <c r="AY28" s="460"/>
      <c r="AZ28" s="460"/>
      <c r="BA28" s="460"/>
      <c r="BB28" s="13"/>
      <c r="BC28" s="29"/>
      <c r="BD28" s="29"/>
      <c r="BE28" s="29"/>
      <c r="BF28" s="59"/>
      <c r="BG28" s="59"/>
      <c r="BH28" s="59"/>
      <c r="BI28" s="59"/>
      <c r="BJ28" s="29"/>
      <c r="BK28" s="29"/>
      <c r="BL28" s="29"/>
      <c r="BM28" s="29"/>
      <c r="BN28" s="29"/>
      <c r="BO28" s="29"/>
      <c r="BP28" s="29"/>
      <c r="BQ28" s="29"/>
      <c r="BR28" s="29"/>
      <c r="BS28" s="30"/>
      <c r="BT28" s="31"/>
      <c r="BU28" s="31"/>
      <c r="BV28" s="30"/>
      <c r="BW28" s="31"/>
      <c r="BX28" s="31"/>
      <c r="BY28" s="32"/>
      <c r="BZ28" s="33"/>
      <c r="CA28" s="33"/>
      <c r="CB28" s="32"/>
      <c r="CC28" s="33"/>
      <c r="CD28" s="33"/>
      <c r="CE28" s="32"/>
      <c r="CF28" s="33"/>
      <c r="CG28" s="33"/>
      <c r="CH28" s="60">
        <v>12</v>
      </c>
      <c r="CI28" s="405"/>
      <c r="CJ28" s="406"/>
      <c r="CK28" s="409">
        <f t="shared" si="5"/>
        <v>600001</v>
      </c>
      <c r="CL28" s="347"/>
      <c r="CM28" s="347"/>
      <c r="CN28" s="57" t="s">
        <v>98</v>
      </c>
      <c r="CO28" s="348">
        <v>1300000</v>
      </c>
      <c r="CP28" s="348"/>
      <c r="CQ28" s="348"/>
      <c r="CR28" s="350" t="s">
        <v>117</v>
      </c>
      <c r="CS28" s="351"/>
      <c r="CT28" s="351"/>
      <c r="CU28" s="351"/>
      <c r="CV28" s="351"/>
      <c r="CW28" s="280">
        <f>IF($P$18-400000&gt;0,$P$18-400000,0)</f>
        <v>0</v>
      </c>
      <c r="CX28" s="280"/>
      <c r="CY28" s="280"/>
      <c r="CZ28" s="280">
        <f>IF($P$20-400000&gt;0,$P$20-400000,0)</f>
        <v>0</v>
      </c>
      <c r="DA28" s="280"/>
      <c r="DB28" s="280"/>
      <c r="DC28" s="280">
        <f>IF($P$22-400000&gt;0,$P$22-400000,0)</f>
        <v>0</v>
      </c>
      <c r="DD28" s="280"/>
      <c r="DE28" s="280"/>
      <c r="DF28" s="280">
        <f>IF($P$24-400000&gt;0,$P$24-400000,0)</f>
        <v>0</v>
      </c>
      <c r="DG28" s="280"/>
      <c r="DH28" s="280"/>
      <c r="DI28" s="280">
        <f>IF($P$26-400000&gt;0,$P$26-400000,0)</f>
        <v>0</v>
      </c>
      <c r="DJ28" s="280"/>
      <c r="DK28" s="281"/>
    </row>
    <row r="29" spans="2:127" ht="18.75" customHeight="1" thickBot="1" x14ac:dyDescent="0.2">
      <c r="B29" s="12" t="s">
        <v>29</v>
      </c>
      <c r="V29"/>
      <c r="W29"/>
      <c r="X29"/>
      <c r="Y29"/>
      <c r="Z29"/>
      <c r="CH29" s="60">
        <v>13</v>
      </c>
      <c r="CI29" s="405"/>
      <c r="CJ29" s="406"/>
      <c r="CK29" s="409">
        <f t="shared" si="5"/>
        <v>1300001</v>
      </c>
      <c r="CL29" s="347"/>
      <c r="CM29" s="347"/>
      <c r="CN29" s="57" t="s">
        <v>98</v>
      </c>
      <c r="CO29" s="348">
        <v>4100000</v>
      </c>
      <c r="CP29" s="348"/>
      <c r="CQ29" s="348"/>
      <c r="CR29" s="697" t="s">
        <v>113</v>
      </c>
      <c r="CS29" s="698"/>
      <c r="CT29" s="698"/>
      <c r="CU29" s="698"/>
      <c r="CV29" s="698"/>
      <c r="CW29" s="340">
        <f>$P$18*0.75-75000</f>
        <v>-75000</v>
      </c>
      <c r="CX29" s="341"/>
      <c r="CY29" s="342"/>
      <c r="CZ29" s="340">
        <f>$P$20*0.75-75000</f>
        <v>-75000</v>
      </c>
      <c r="DA29" s="341"/>
      <c r="DB29" s="342"/>
      <c r="DC29" s="340">
        <f>$P$22*0.75-75000</f>
        <v>-75000</v>
      </c>
      <c r="DD29" s="341"/>
      <c r="DE29" s="342"/>
      <c r="DF29" s="340">
        <f>$P$24*0.75-75000</f>
        <v>-75000</v>
      </c>
      <c r="DG29" s="341"/>
      <c r="DH29" s="342"/>
      <c r="DI29" s="340">
        <f>$P$26*0.75-75000</f>
        <v>-75000</v>
      </c>
      <c r="DJ29" s="341"/>
      <c r="DK29" s="343"/>
    </row>
    <row r="30" spans="2:127" ht="15" customHeight="1" x14ac:dyDescent="0.15">
      <c r="B30" s="181" t="s">
        <v>31</v>
      </c>
      <c r="C30" s="182"/>
      <c r="D30" s="182"/>
      <c r="E30" s="336"/>
      <c r="F30" s="442">
        <f>COUNTA(E18:E27)</f>
        <v>5</v>
      </c>
      <c r="G30" s="443"/>
      <c r="H30" s="446" t="s">
        <v>32</v>
      </c>
      <c r="I30" s="448" t="s">
        <v>33</v>
      </c>
      <c r="J30" s="449"/>
      <c r="K30" s="449"/>
      <c r="L30" s="449"/>
      <c r="M30" s="449"/>
      <c r="N30" s="450"/>
      <c r="O30" s="454">
        <f>SUM(AB18:AD27)</f>
        <v>0</v>
      </c>
      <c r="P30" s="455"/>
      <c r="Q30" s="455"/>
      <c r="R30" s="456"/>
      <c r="S30" s="446" t="s">
        <v>24</v>
      </c>
      <c r="T30" s="13"/>
      <c r="U30" s="13"/>
      <c r="V30"/>
      <c r="W30"/>
      <c r="X30"/>
      <c r="Y30"/>
      <c r="Z30"/>
      <c r="AA30" s="13"/>
      <c r="AB30" s="13"/>
      <c r="AC30" s="13"/>
      <c r="AD30" s="13"/>
      <c r="AE30" s="13"/>
      <c r="AF30" s="13"/>
      <c r="AV30" s="25"/>
      <c r="AW30" s="26"/>
      <c r="AX30" s="26"/>
      <c r="AY30" s="26"/>
      <c r="AZ30" s="26"/>
      <c r="BA30" s="26"/>
      <c r="BB30" s="28" t="s">
        <v>61</v>
      </c>
      <c r="BD30" s="25"/>
      <c r="BE30" s="27"/>
      <c r="BF30" s="27"/>
      <c r="BG30" s="27"/>
      <c r="BH30" s="27"/>
      <c r="BI30" s="27"/>
      <c r="BK30" s="27"/>
      <c r="CH30" s="60">
        <v>14</v>
      </c>
      <c r="CI30" s="405"/>
      <c r="CJ30" s="406"/>
      <c r="CK30" s="409">
        <f t="shared" si="5"/>
        <v>4100001</v>
      </c>
      <c r="CL30" s="347"/>
      <c r="CM30" s="347"/>
      <c r="CN30" s="57" t="s">
        <v>98</v>
      </c>
      <c r="CO30" s="348">
        <v>7700000</v>
      </c>
      <c r="CP30" s="348"/>
      <c r="CQ30" s="348"/>
      <c r="CR30" s="697" t="s">
        <v>114</v>
      </c>
      <c r="CS30" s="698"/>
      <c r="CT30" s="698"/>
      <c r="CU30" s="698"/>
      <c r="CV30" s="698"/>
      <c r="CW30" s="340">
        <f>$P$18*0.85-485000</f>
        <v>-485000</v>
      </c>
      <c r="CX30" s="341"/>
      <c r="CY30" s="342"/>
      <c r="CZ30" s="340">
        <f>$P$20*0.85-485000</f>
        <v>-485000</v>
      </c>
      <c r="DA30" s="341"/>
      <c r="DB30" s="342"/>
      <c r="DC30" s="340">
        <f>$P$22*0.85-485000</f>
        <v>-485000</v>
      </c>
      <c r="DD30" s="341"/>
      <c r="DE30" s="342"/>
      <c r="DF30" s="340">
        <f>$P$24*0.85-485000</f>
        <v>-485000</v>
      </c>
      <c r="DG30" s="341"/>
      <c r="DH30" s="342"/>
      <c r="DI30" s="340">
        <f>$P$26*0.85-485000</f>
        <v>-485000</v>
      </c>
      <c r="DJ30" s="341"/>
      <c r="DK30" s="343"/>
    </row>
    <row r="31" spans="2:127" ht="12" customHeight="1" thickBot="1" x14ac:dyDescent="0.2">
      <c r="B31" s="184"/>
      <c r="C31" s="185"/>
      <c r="D31" s="185"/>
      <c r="E31" s="441"/>
      <c r="F31" s="444"/>
      <c r="G31" s="445"/>
      <c r="H31" s="447"/>
      <c r="I31" s="451"/>
      <c r="J31" s="452"/>
      <c r="K31" s="452"/>
      <c r="L31" s="452"/>
      <c r="M31" s="452"/>
      <c r="N31" s="453"/>
      <c r="O31" s="457"/>
      <c r="P31" s="457"/>
      <c r="Q31" s="457"/>
      <c r="R31" s="458"/>
      <c r="S31" s="447"/>
      <c r="T31" s="13"/>
      <c r="U31" s="13"/>
      <c r="V31"/>
      <c r="W31"/>
      <c r="X31"/>
      <c r="Y31"/>
      <c r="Z31"/>
      <c r="AA31" s="13"/>
      <c r="AB31" s="13"/>
      <c r="AC31" s="13"/>
      <c r="AD31" s="13"/>
      <c r="AE31" s="13"/>
      <c r="AF31" s="13"/>
      <c r="AV31" s="25"/>
      <c r="AW31" s="26"/>
      <c r="AX31" s="26"/>
      <c r="AY31" s="26"/>
      <c r="AZ31" s="26"/>
      <c r="BA31" s="26"/>
      <c r="BB31" s="26"/>
      <c r="BC31" s="26"/>
      <c r="BD31" s="23"/>
      <c r="BE31" s="24"/>
      <c r="BF31" s="24"/>
      <c r="BG31" s="24"/>
      <c r="BH31" s="24"/>
      <c r="BI31" s="24"/>
      <c r="BJ31" s="24"/>
      <c r="BK31" s="24"/>
      <c r="CH31" s="60">
        <v>15</v>
      </c>
      <c r="CI31" s="405"/>
      <c r="CJ31" s="406"/>
      <c r="CK31" s="409">
        <f t="shared" si="5"/>
        <v>7700001</v>
      </c>
      <c r="CL31" s="347"/>
      <c r="CM31" s="347"/>
      <c r="CN31" s="57" t="s">
        <v>98</v>
      </c>
      <c r="CO31" s="348">
        <v>10000000</v>
      </c>
      <c r="CP31" s="348"/>
      <c r="CQ31" s="348"/>
      <c r="CR31" s="699" t="s">
        <v>115</v>
      </c>
      <c r="CS31" s="700"/>
      <c r="CT31" s="700"/>
      <c r="CU31" s="700"/>
      <c r="CV31" s="700"/>
      <c r="CW31" s="340">
        <f>$P$18*0.95-1255000</f>
        <v>-1255000</v>
      </c>
      <c r="CX31" s="341"/>
      <c r="CY31" s="342"/>
      <c r="CZ31" s="340">
        <f>$P$20*0.95-1255000</f>
        <v>-1255000</v>
      </c>
      <c r="DA31" s="341"/>
      <c r="DB31" s="342"/>
      <c r="DC31" s="340">
        <f>$P$22*0.95-1255000</f>
        <v>-1255000</v>
      </c>
      <c r="DD31" s="341"/>
      <c r="DE31" s="342"/>
      <c r="DF31" s="340">
        <f>$P$24*0.95-1255000</f>
        <v>-1255000</v>
      </c>
      <c r="DG31" s="341"/>
      <c r="DH31" s="342"/>
      <c r="DI31" s="340">
        <f>$P$26*0.95-1255000</f>
        <v>-1255000</v>
      </c>
      <c r="DJ31" s="341"/>
      <c r="DK31" s="343"/>
    </row>
    <row r="32" spans="2:127" ht="14.25" customHeight="1" thickBot="1" x14ac:dyDescent="0.2">
      <c r="V32" s="551"/>
      <c r="W32" s="551"/>
      <c r="X32" s="551"/>
      <c r="Y32" s="551"/>
      <c r="Z32" s="551"/>
      <c r="AS32" s="480" t="s">
        <v>30</v>
      </c>
      <c r="AT32" s="481"/>
      <c r="AU32" s="481"/>
      <c r="AV32" s="481"/>
      <c r="AW32" s="481"/>
      <c r="AX32" s="481"/>
      <c r="AY32" s="481"/>
      <c r="AZ32" s="481"/>
      <c r="BA32" s="481"/>
      <c r="BB32" s="481"/>
      <c r="BC32" s="482"/>
      <c r="BD32" s="483">
        <v>3</v>
      </c>
      <c r="BE32" s="484"/>
      <c r="BF32" s="484"/>
      <c r="BG32" s="484"/>
      <c r="BH32" s="484"/>
      <c r="BI32" s="484"/>
      <c r="BJ32" s="484"/>
      <c r="BK32" s="485"/>
      <c r="CH32" s="66">
        <v>16</v>
      </c>
      <c r="CI32" s="405"/>
      <c r="CJ32" s="406"/>
      <c r="CK32" s="486">
        <f t="shared" si="5"/>
        <v>10000001</v>
      </c>
      <c r="CL32" s="413"/>
      <c r="CM32" s="413"/>
      <c r="CN32" s="67" t="s">
        <v>98</v>
      </c>
      <c r="CO32" s="414"/>
      <c r="CP32" s="414"/>
      <c r="CQ32" s="414"/>
      <c r="CR32" s="410" t="s">
        <v>116</v>
      </c>
      <c r="CS32" s="411"/>
      <c r="CT32" s="411"/>
      <c r="CU32" s="411"/>
      <c r="CV32" s="412"/>
      <c r="CW32" s="434">
        <f>$P$18-1755000</f>
        <v>-1755000</v>
      </c>
      <c r="CX32" s="435"/>
      <c r="CY32" s="436"/>
      <c r="CZ32" s="434">
        <f>$P$20-1755000</f>
        <v>-1755000</v>
      </c>
      <c r="DA32" s="435"/>
      <c r="DB32" s="436"/>
      <c r="DC32" s="434">
        <f>$P$22-1755000</f>
        <v>-1755000</v>
      </c>
      <c r="DD32" s="435"/>
      <c r="DE32" s="436"/>
      <c r="DF32" s="434">
        <f>$P$24-1755000</f>
        <v>-1755000</v>
      </c>
      <c r="DG32" s="435"/>
      <c r="DH32" s="436"/>
      <c r="DI32" s="434">
        <f>$P$26-1755000</f>
        <v>-1755000</v>
      </c>
      <c r="DJ32" s="435"/>
      <c r="DK32" s="437"/>
    </row>
    <row r="33" spans="1:116" ht="18.75" customHeight="1" thickBot="1" x14ac:dyDescent="0.2">
      <c r="B33" s="12" t="str">
        <f>"国民健康保険税の算定方法（令和"&amp;BD32&amp;"年度）"</f>
        <v>国民健康保険税の算定方法（令和3年度）</v>
      </c>
      <c r="AJ33" s="466" t="s">
        <v>34</v>
      </c>
      <c r="AK33" s="466"/>
      <c r="AL33" s="466"/>
      <c r="AM33" s="466" t="s">
        <v>35</v>
      </c>
      <c r="AN33" s="466"/>
      <c r="AO33" s="466"/>
      <c r="AP33" s="467"/>
      <c r="AQ33" s="468"/>
      <c r="AR33" s="469"/>
      <c r="AS33" s="239" t="s">
        <v>36</v>
      </c>
      <c r="AT33" s="240"/>
      <c r="AU33" s="240"/>
      <c r="AV33" s="240"/>
      <c r="AW33" s="240"/>
      <c r="AX33" s="240"/>
      <c r="AY33" s="240"/>
      <c r="AZ33" s="240"/>
      <c r="BA33" s="240"/>
      <c r="BB33" s="240"/>
      <c r="BC33" s="240"/>
      <c r="BD33" s="240"/>
      <c r="BE33" s="240"/>
      <c r="BF33" s="240"/>
      <c r="BG33" s="240"/>
      <c r="BH33" s="241"/>
      <c r="CH33" s="62"/>
      <c r="CI33" s="62"/>
      <c r="CJ33" s="62"/>
      <c r="CK33" s="13"/>
      <c r="CL33" s="13"/>
      <c r="CR33" s="13"/>
      <c r="CS33" s="13"/>
    </row>
    <row r="34" spans="1:116" ht="18.75" customHeight="1" x14ac:dyDescent="0.15">
      <c r="B34" s="618"/>
      <c r="C34" s="619"/>
      <c r="D34" s="619"/>
      <c r="E34" s="619"/>
      <c r="F34" s="619"/>
      <c r="G34" s="619"/>
      <c r="H34" s="619"/>
      <c r="I34" s="619"/>
      <c r="J34" s="619"/>
      <c r="K34" s="619"/>
      <c r="L34" s="619"/>
      <c r="M34" s="619"/>
      <c r="N34" s="619"/>
      <c r="O34" s="619"/>
      <c r="P34" s="620"/>
      <c r="Q34" s="293" t="s">
        <v>36</v>
      </c>
      <c r="R34" s="217"/>
      <c r="S34" s="217"/>
      <c r="T34" s="217"/>
      <c r="U34" s="217"/>
      <c r="V34" s="217"/>
      <c r="W34" s="217"/>
      <c r="X34" s="217"/>
      <c r="Y34" s="217"/>
      <c r="Z34" s="217"/>
      <c r="AA34" s="217"/>
      <c r="AB34" s="288"/>
      <c r="AC34" s="59"/>
      <c r="AD34" s="59"/>
      <c r="AE34" s="59"/>
      <c r="AF34" s="59"/>
      <c r="AJ34" s="466"/>
      <c r="AK34" s="466"/>
      <c r="AL34" s="466"/>
      <c r="AM34" s="466"/>
      <c r="AN34" s="466"/>
      <c r="AO34" s="466"/>
      <c r="AP34" s="470"/>
      <c r="AQ34" s="471"/>
      <c r="AR34" s="472"/>
      <c r="AS34" s="219" t="s">
        <v>37</v>
      </c>
      <c r="AT34" s="219"/>
      <c r="AU34" s="219"/>
      <c r="AV34" s="219"/>
      <c r="AW34" s="239" t="s">
        <v>38</v>
      </c>
      <c r="AX34" s="240"/>
      <c r="AY34" s="240"/>
      <c r="AZ34" s="240"/>
      <c r="BA34" s="240"/>
      <c r="BB34" s="240"/>
      <c r="BC34" s="240"/>
      <c r="BD34" s="241"/>
      <c r="BE34" s="219" t="s">
        <v>39</v>
      </c>
      <c r="BF34" s="219"/>
      <c r="BG34" s="219"/>
      <c r="BH34" s="219"/>
      <c r="BM34" s="219" t="s">
        <v>70</v>
      </c>
      <c r="BN34" s="219"/>
      <c r="BO34" s="219"/>
      <c r="BP34" s="219"/>
      <c r="BQ34" s="473" t="s">
        <v>72</v>
      </c>
      <c r="BR34" s="473"/>
      <c r="BS34" s="473"/>
      <c r="BT34" s="473"/>
      <c r="BU34" s="473"/>
      <c r="BV34" s="473"/>
      <c r="BW34" s="473"/>
      <c r="BX34" s="496" t="s">
        <v>73</v>
      </c>
      <c r="BY34" s="496"/>
      <c r="BZ34" s="496"/>
      <c r="CA34" s="252">
        <v>330000</v>
      </c>
      <c r="CB34" s="252"/>
      <c r="CC34" s="252"/>
    </row>
    <row r="35" spans="1:116" ht="18.75" customHeight="1" thickBot="1" x14ac:dyDescent="0.2">
      <c r="B35" s="621"/>
      <c r="C35" s="622"/>
      <c r="D35" s="622"/>
      <c r="E35" s="622"/>
      <c r="F35" s="622"/>
      <c r="G35" s="622"/>
      <c r="H35" s="622"/>
      <c r="I35" s="622"/>
      <c r="J35" s="622"/>
      <c r="K35" s="622"/>
      <c r="L35" s="622"/>
      <c r="M35" s="622"/>
      <c r="N35" s="622"/>
      <c r="O35" s="622"/>
      <c r="P35" s="623"/>
      <c r="Q35" s="191" t="s">
        <v>37</v>
      </c>
      <c r="R35" s="188"/>
      <c r="S35" s="188"/>
      <c r="T35" s="188"/>
      <c r="U35" s="188" t="s">
        <v>38</v>
      </c>
      <c r="V35" s="188"/>
      <c r="W35" s="188"/>
      <c r="X35" s="188"/>
      <c r="Y35" s="188" t="s">
        <v>39</v>
      </c>
      <c r="Z35" s="188"/>
      <c r="AA35" s="188"/>
      <c r="AB35" s="628"/>
      <c r="AJ35" s="361">
        <f>IF(AND(40&lt;=H18,H18&lt;=64),1,0)</f>
        <v>0</v>
      </c>
      <c r="AK35" s="361"/>
      <c r="AL35" s="361"/>
      <c r="AM35" s="490">
        <f>IF(AJ35=0,0,AB18)</f>
        <v>0</v>
      </c>
      <c r="AN35" s="491"/>
      <c r="AO35" s="492"/>
      <c r="AP35" s="219" t="s">
        <v>40</v>
      </c>
      <c r="AQ35" s="219"/>
      <c r="AR35" s="219"/>
      <c r="AS35" s="624">
        <v>6.0199999999999997E-2</v>
      </c>
      <c r="AT35" s="624"/>
      <c r="AU35" s="624"/>
      <c r="AV35" s="624"/>
      <c r="AW35" s="227">
        <v>1.5299999999999999E-2</v>
      </c>
      <c r="AX35" s="228"/>
      <c r="AY35" s="228"/>
      <c r="AZ35" s="228"/>
      <c r="BA35" s="228"/>
      <c r="BB35" s="228"/>
      <c r="BC35" s="228"/>
      <c r="BD35" s="229"/>
      <c r="BE35" s="624">
        <v>1.38E-2</v>
      </c>
      <c r="BF35" s="624"/>
      <c r="BG35" s="624"/>
      <c r="BH35" s="624"/>
      <c r="BM35" s="219"/>
      <c r="BN35" s="219"/>
      <c r="BO35" s="219"/>
      <c r="BP35" s="219"/>
      <c r="BQ35" s="473"/>
      <c r="BR35" s="473"/>
      <c r="BS35" s="473"/>
      <c r="BT35" s="473"/>
      <c r="BU35" s="473"/>
      <c r="BV35" s="473"/>
      <c r="BW35" s="473"/>
      <c r="BX35" s="496"/>
      <c r="BY35" s="496"/>
      <c r="BZ35" s="496"/>
      <c r="CA35" s="252"/>
      <c r="CB35" s="252"/>
      <c r="CC35" s="252"/>
    </row>
    <row r="36" spans="1:116" ht="20.25" customHeight="1" x14ac:dyDescent="0.15">
      <c r="B36" s="625" t="s">
        <v>55</v>
      </c>
      <c r="C36" s="403"/>
      <c r="D36" s="403"/>
      <c r="E36" s="626" t="s">
        <v>41</v>
      </c>
      <c r="F36" s="626"/>
      <c r="G36" s="626"/>
      <c r="H36" s="626"/>
      <c r="I36" s="626"/>
      <c r="J36" s="626" t="s">
        <v>42</v>
      </c>
      <c r="K36" s="629"/>
      <c r="L36" s="629"/>
      <c r="M36" s="629"/>
      <c r="N36" s="629"/>
      <c r="O36" s="629"/>
      <c r="P36" s="630"/>
      <c r="Q36" s="197">
        <f>AS35</f>
        <v>6.0199999999999997E-2</v>
      </c>
      <c r="R36" s="633"/>
      <c r="S36" s="633"/>
      <c r="T36" s="633"/>
      <c r="U36" s="633">
        <f>AW35</f>
        <v>1.5299999999999999E-2</v>
      </c>
      <c r="V36" s="633"/>
      <c r="W36" s="633"/>
      <c r="X36" s="633"/>
      <c r="Y36" s="633">
        <f>BE35</f>
        <v>1.38E-2</v>
      </c>
      <c r="Z36" s="633"/>
      <c r="AA36" s="633"/>
      <c r="AB36" s="636"/>
      <c r="AJ36" s="361"/>
      <c r="AK36" s="361"/>
      <c r="AL36" s="361"/>
      <c r="AM36" s="493"/>
      <c r="AN36" s="494"/>
      <c r="AO36" s="495"/>
      <c r="AP36" s="219"/>
      <c r="AQ36" s="219"/>
      <c r="AR36" s="219"/>
      <c r="AS36" s="624"/>
      <c r="AT36" s="624"/>
      <c r="AU36" s="624"/>
      <c r="AV36" s="624"/>
      <c r="AW36" s="230"/>
      <c r="AX36" s="231"/>
      <c r="AY36" s="231"/>
      <c r="AZ36" s="231"/>
      <c r="BA36" s="231"/>
      <c r="BB36" s="231"/>
      <c r="BC36" s="231"/>
      <c r="BD36" s="232"/>
      <c r="BE36" s="624"/>
      <c r="BF36" s="624"/>
      <c r="BG36" s="624"/>
      <c r="BH36" s="624"/>
      <c r="BM36" s="219"/>
      <c r="BN36" s="219"/>
      <c r="BO36" s="219"/>
      <c r="BP36" s="219"/>
      <c r="BQ36" s="473"/>
      <c r="BR36" s="473"/>
      <c r="BS36" s="473"/>
      <c r="BT36" s="473"/>
      <c r="BU36" s="473"/>
      <c r="BV36" s="473"/>
      <c r="BW36" s="473"/>
      <c r="BX36" s="496"/>
      <c r="BY36" s="496"/>
      <c r="BZ36" s="496"/>
      <c r="CA36" s="252"/>
      <c r="CB36" s="252"/>
      <c r="CC36" s="252"/>
    </row>
    <row r="37" spans="1:116" ht="20.25" customHeight="1" x14ac:dyDescent="0.15">
      <c r="B37" s="218"/>
      <c r="C37" s="219"/>
      <c r="D37" s="219"/>
      <c r="E37" s="627"/>
      <c r="F37" s="627"/>
      <c r="G37" s="627"/>
      <c r="H37" s="627"/>
      <c r="I37" s="627"/>
      <c r="J37" s="631"/>
      <c r="K37" s="631"/>
      <c r="L37" s="631"/>
      <c r="M37" s="631"/>
      <c r="N37" s="631"/>
      <c r="O37" s="631"/>
      <c r="P37" s="632"/>
      <c r="Q37" s="634"/>
      <c r="R37" s="635"/>
      <c r="S37" s="635"/>
      <c r="T37" s="635"/>
      <c r="U37" s="635"/>
      <c r="V37" s="635"/>
      <c r="W37" s="635"/>
      <c r="X37" s="635"/>
      <c r="Y37" s="635"/>
      <c r="Z37" s="635"/>
      <c r="AA37" s="635"/>
      <c r="AB37" s="637"/>
      <c r="AJ37" s="361">
        <f>IF(AND(40&lt;=H20,H20&lt;=64),1,0)</f>
        <v>0</v>
      </c>
      <c r="AK37" s="361"/>
      <c r="AL37" s="361"/>
      <c r="AM37" s="490">
        <f>IF(AJ37=0,0,AB20)</f>
        <v>0</v>
      </c>
      <c r="AN37" s="491"/>
      <c r="AO37" s="492"/>
      <c r="AP37" s="219" t="s">
        <v>43</v>
      </c>
      <c r="AQ37" s="219"/>
      <c r="AR37" s="219"/>
      <c r="AS37" s="501">
        <v>24800</v>
      </c>
      <c r="AT37" s="226"/>
      <c r="AU37" s="226"/>
      <c r="AV37" s="226"/>
      <c r="AW37" s="233">
        <v>8400</v>
      </c>
      <c r="AX37" s="234"/>
      <c r="AY37" s="234"/>
      <c r="AZ37" s="234"/>
      <c r="BA37" s="234"/>
      <c r="BB37" s="234"/>
      <c r="BC37" s="234"/>
      <c r="BD37" s="235"/>
      <c r="BE37" s="501">
        <v>8900</v>
      </c>
      <c r="BF37" s="226"/>
      <c r="BG37" s="226"/>
      <c r="BH37" s="226"/>
      <c r="BM37" s="219" t="s">
        <v>69</v>
      </c>
      <c r="BN37" s="219"/>
      <c r="BO37" s="219"/>
      <c r="BP37" s="219"/>
      <c r="BQ37" s="473" t="s">
        <v>76</v>
      </c>
      <c r="BR37" s="473" t="s">
        <v>67</v>
      </c>
      <c r="BS37" s="473" t="s">
        <v>67</v>
      </c>
      <c r="BT37" s="473" t="s">
        <v>67</v>
      </c>
      <c r="BU37" s="473" t="s">
        <v>67</v>
      </c>
      <c r="BV37" s="473" t="s">
        <v>67</v>
      </c>
      <c r="BW37" s="473" t="s">
        <v>67</v>
      </c>
      <c r="BX37" s="496" t="s">
        <v>74</v>
      </c>
      <c r="BY37" s="496"/>
      <c r="BZ37" s="496"/>
      <c r="CA37" s="252">
        <v>285000</v>
      </c>
      <c r="CB37" s="252"/>
      <c r="CC37" s="252"/>
    </row>
    <row r="38" spans="1:116" ht="20.25" customHeight="1" x14ac:dyDescent="0.15">
      <c r="B38" s="218" t="s">
        <v>56</v>
      </c>
      <c r="C38" s="219"/>
      <c r="D38" s="219"/>
      <c r="E38" s="627" t="s">
        <v>45</v>
      </c>
      <c r="F38" s="627"/>
      <c r="G38" s="627"/>
      <c r="H38" s="627"/>
      <c r="I38" s="627"/>
      <c r="J38" s="649" t="s">
        <v>46</v>
      </c>
      <c r="K38" s="164"/>
      <c r="L38" s="164"/>
      <c r="M38" s="164"/>
      <c r="N38" s="164"/>
      <c r="O38" s="164"/>
      <c r="P38" s="165"/>
      <c r="Q38" s="650" t="str">
        <f>FIXED(AS37,0,FALSE)&amp;"円"&amp;CHAR(10)&amp;"×加入者数"</f>
        <v>24,800円
×加入者数</v>
      </c>
      <c r="R38" s="651"/>
      <c r="S38" s="651"/>
      <c r="T38" s="651"/>
      <c r="U38" s="651" t="str">
        <f>FIXED(AW37,0,FALSE)&amp;"円"&amp;CHAR(10)&amp;"×加入者数"</f>
        <v>8,400円
×加入者数</v>
      </c>
      <c r="V38" s="651"/>
      <c r="W38" s="651"/>
      <c r="X38" s="651"/>
      <c r="Y38" s="651" t="str">
        <f>FIXED(BE37,0,FALSE)&amp;"円"&amp;CHAR(10)&amp;"×加入者数"</f>
        <v>8,900円
×加入者数</v>
      </c>
      <c r="Z38" s="651"/>
      <c r="AA38" s="651"/>
      <c r="AB38" s="652"/>
      <c r="AJ38" s="361"/>
      <c r="AK38" s="361"/>
      <c r="AL38" s="361"/>
      <c r="AM38" s="493"/>
      <c r="AN38" s="494"/>
      <c r="AO38" s="495"/>
      <c r="AP38" s="219"/>
      <c r="AQ38" s="219"/>
      <c r="AR38" s="219"/>
      <c r="AS38" s="226"/>
      <c r="AT38" s="226"/>
      <c r="AU38" s="226"/>
      <c r="AV38" s="226"/>
      <c r="AW38" s="236"/>
      <c r="AX38" s="237"/>
      <c r="AY38" s="237"/>
      <c r="AZ38" s="237"/>
      <c r="BA38" s="237"/>
      <c r="BB38" s="237"/>
      <c r="BC38" s="237"/>
      <c r="BD38" s="238"/>
      <c r="BE38" s="226"/>
      <c r="BF38" s="226"/>
      <c r="BG38" s="226"/>
      <c r="BH38" s="226"/>
      <c r="BM38" s="219"/>
      <c r="BN38" s="219"/>
      <c r="BO38" s="219"/>
      <c r="BP38" s="219"/>
      <c r="BQ38" s="473"/>
      <c r="BR38" s="473"/>
      <c r="BS38" s="473"/>
      <c r="BT38" s="473"/>
      <c r="BU38" s="473"/>
      <c r="BV38" s="473"/>
      <c r="BW38" s="473"/>
      <c r="BX38" s="496"/>
      <c r="BY38" s="496"/>
      <c r="BZ38" s="496"/>
      <c r="CA38" s="252"/>
      <c r="CB38" s="252"/>
      <c r="CC38" s="252"/>
    </row>
    <row r="39" spans="1:116" ht="20.25" customHeight="1" x14ac:dyDescent="0.15">
      <c r="B39" s="218"/>
      <c r="C39" s="219"/>
      <c r="D39" s="219"/>
      <c r="E39" s="627"/>
      <c r="F39" s="627"/>
      <c r="G39" s="627"/>
      <c r="H39" s="627"/>
      <c r="I39" s="627"/>
      <c r="J39" s="164"/>
      <c r="K39" s="164"/>
      <c r="L39" s="164"/>
      <c r="M39" s="164"/>
      <c r="N39" s="164"/>
      <c r="O39" s="164"/>
      <c r="P39" s="165"/>
      <c r="Q39" s="650"/>
      <c r="R39" s="651"/>
      <c r="S39" s="651"/>
      <c r="T39" s="651"/>
      <c r="U39" s="651"/>
      <c r="V39" s="651"/>
      <c r="W39" s="651"/>
      <c r="X39" s="651"/>
      <c r="Y39" s="651"/>
      <c r="Z39" s="651"/>
      <c r="AA39" s="651"/>
      <c r="AB39" s="652"/>
      <c r="AJ39" s="361">
        <f>IF(AND(40&lt;=H22,H22&lt;=64),1,0)</f>
        <v>0</v>
      </c>
      <c r="AK39" s="361"/>
      <c r="AL39" s="361"/>
      <c r="AM39" s="490">
        <f>IF(AJ39=0,0,AB22)</f>
        <v>0</v>
      </c>
      <c r="AN39" s="491"/>
      <c r="AO39" s="492"/>
      <c r="AP39" s="219" t="s">
        <v>44</v>
      </c>
      <c r="AQ39" s="219"/>
      <c r="AR39" s="219"/>
      <c r="AS39" s="226">
        <v>20400</v>
      </c>
      <c r="AT39" s="226"/>
      <c r="AU39" s="226"/>
      <c r="AV39" s="226"/>
      <c r="AW39" s="220">
        <v>4800</v>
      </c>
      <c r="AX39" s="221"/>
      <c r="AY39" s="221"/>
      <c r="AZ39" s="221"/>
      <c r="BA39" s="221"/>
      <c r="BB39" s="221"/>
      <c r="BC39" s="221"/>
      <c r="BD39" s="222"/>
      <c r="BE39" s="226">
        <v>4700</v>
      </c>
      <c r="BF39" s="226"/>
      <c r="BG39" s="226"/>
      <c r="BH39" s="226"/>
      <c r="BM39" s="219"/>
      <c r="BN39" s="219"/>
      <c r="BO39" s="219"/>
      <c r="BP39" s="219"/>
      <c r="BQ39" s="473"/>
      <c r="BR39" s="473"/>
      <c r="BS39" s="473"/>
      <c r="BT39" s="473"/>
      <c r="BU39" s="473"/>
      <c r="BV39" s="473"/>
      <c r="BW39" s="473"/>
      <c r="BX39" s="496"/>
      <c r="BY39" s="496"/>
      <c r="BZ39" s="496"/>
      <c r="CA39" s="252"/>
      <c r="CB39" s="252"/>
      <c r="CC39" s="252"/>
    </row>
    <row r="40" spans="1:116" ht="20.25" customHeight="1" x14ac:dyDescent="0.15">
      <c r="B40" s="218" t="s">
        <v>57</v>
      </c>
      <c r="C40" s="219"/>
      <c r="D40" s="219"/>
      <c r="E40" s="627" t="s">
        <v>48</v>
      </c>
      <c r="F40" s="627"/>
      <c r="G40" s="627"/>
      <c r="H40" s="627"/>
      <c r="I40" s="627"/>
      <c r="J40" s="649" t="s">
        <v>49</v>
      </c>
      <c r="K40" s="164"/>
      <c r="L40" s="164"/>
      <c r="M40" s="164"/>
      <c r="N40" s="164"/>
      <c r="O40" s="164"/>
      <c r="P40" s="165"/>
      <c r="Q40" s="653">
        <f>AS39</f>
        <v>20400</v>
      </c>
      <c r="R40" s="654"/>
      <c r="S40" s="654"/>
      <c r="T40" s="654"/>
      <c r="U40" s="654">
        <f>AW39</f>
        <v>4800</v>
      </c>
      <c r="V40" s="654"/>
      <c r="W40" s="654"/>
      <c r="X40" s="654"/>
      <c r="Y40" s="654">
        <f>BE39</f>
        <v>4700</v>
      </c>
      <c r="Z40" s="654"/>
      <c r="AA40" s="654"/>
      <c r="AB40" s="655"/>
      <c r="AJ40" s="361"/>
      <c r="AK40" s="361"/>
      <c r="AL40" s="361"/>
      <c r="AM40" s="493"/>
      <c r="AN40" s="494"/>
      <c r="AO40" s="495"/>
      <c r="AP40" s="219"/>
      <c r="AQ40" s="219"/>
      <c r="AR40" s="219"/>
      <c r="AS40" s="226"/>
      <c r="AT40" s="226"/>
      <c r="AU40" s="226"/>
      <c r="AV40" s="226"/>
      <c r="AW40" s="223"/>
      <c r="AX40" s="224"/>
      <c r="AY40" s="224"/>
      <c r="AZ40" s="224"/>
      <c r="BA40" s="224"/>
      <c r="BB40" s="224"/>
      <c r="BC40" s="224"/>
      <c r="BD40" s="225"/>
      <c r="BE40" s="226"/>
      <c r="BF40" s="226"/>
      <c r="BG40" s="226"/>
      <c r="BH40" s="226"/>
      <c r="BM40" s="219" t="s">
        <v>71</v>
      </c>
      <c r="BN40" s="219"/>
      <c r="BO40" s="219"/>
      <c r="BP40" s="219"/>
      <c r="BQ40" s="473" t="s">
        <v>77</v>
      </c>
      <c r="BR40" s="473" t="s">
        <v>68</v>
      </c>
      <c r="BS40" s="473" t="s">
        <v>68</v>
      </c>
      <c r="BT40" s="473" t="s">
        <v>68</v>
      </c>
      <c r="BU40" s="473" t="s">
        <v>68</v>
      </c>
      <c r="BV40" s="473" t="s">
        <v>68</v>
      </c>
      <c r="BW40" s="473" t="s">
        <v>68</v>
      </c>
      <c r="BX40" s="496" t="s">
        <v>75</v>
      </c>
      <c r="BY40" s="496"/>
      <c r="BZ40" s="496"/>
      <c r="CA40" s="252">
        <v>520000</v>
      </c>
      <c r="CB40" s="252"/>
      <c r="CC40" s="252"/>
    </row>
    <row r="41" spans="1:116" ht="20.25" customHeight="1" x14ac:dyDescent="0.15">
      <c r="B41" s="218"/>
      <c r="C41" s="219"/>
      <c r="D41" s="219"/>
      <c r="E41" s="627"/>
      <c r="F41" s="627"/>
      <c r="G41" s="627"/>
      <c r="H41" s="627"/>
      <c r="I41" s="627"/>
      <c r="J41" s="164"/>
      <c r="K41" s="164"/>
      <c r="L41" s="164"/>
      <c r="M41" s="164"/>
      <c r="N41" s="164"/>
      <c r="O41" s="164"/>
      <c r="P41" s="165"/>
      <c r="Q41" s="653"/>
      <c r="R41" s="654"/>
      <c r="S41" s="654"/>
      <c r="T41" s="654"/>
      <c r="U41" s="654"/>
      <c r="V41" s="654"/>
      <c r="W41" s="654"/>
      <c r="X41" s="654"/>
      <c r="Y41" s="654"/>
      <c r="Z41" s="654"/>
      <c r="AA41" s="654"/>
      <c r="AB41" s="655"/>
      <c r="AJ41" s="361">
        <f>IF(AND(40&lt;=H24,H24&lt;=64),1,0)</f>
        <v>0</v>
      </c>
      <c r="AK41" s="361"/>
      <c r="AL41" s="361"/>
      <c r="AM41" s="490">
        <f>IF(AJ41=0,0,AB24)</f>
        <v>0</v>
      </c>
      <c r="AN41" s="491"/>
      <c r="AO41" s="492"/>
      <c r="AP41" s="219" t="s">
        <v>47</v>
      </c>
      <c r="AQ41" s="219"/>
      <c r="AR41" s="219"/>
      <c r="AS41" s="226">
        <v>630000</v>
      </c>
      <c r="AT41" s="226"/>
      <c r="AU41" s="226"/>
      <c r="AV41" s="226"/>
      <c r="AW41" s="220">
        <v>190000</v>
      </c>
      <c r="AX41" s="221"/>
      <c r="AY41" s="221"/>
      <c r="AZ41" s="221"/>
      <c r="BA41" s="221"/>
      <c r="BB41" s="221"/>
      <c r="BC41" s="221"/>
      <c r="BD41" s="222"/>
      <c r="BE41" s="226">
        <v>170000</v>
      </c>
      <c r="BF41" s="226"/>
      <c r="BG41" s="226"/>
      <c r="BH41" s="226"/>
      <c r="BM41" s="219"/>
      <c r="BN41" s="219"/>
      <c r="BO41" s="219"/>
      <c r="BP41" s="219"/>
      <c r="BQ41" s="473"/>
      <c r="BR41" s="473"/>
      <c r="BS41" s="473"/>
      <c r="BT41" s="473"/>
      <c r="BU41" s="473"/>
      <c r="BV41" s="473"/>
      <c r="BW41" s="473"/>
      <c r="BX41" s="496"/>
      <c r="BY41" s="496"/>
      <c r="BZ41" s="496"/>
      <c r="CA41" s="252"/>
      <c r="CB41" s="252"/>
      <c r="CC41" s="252"/>
    </row>
    <row r="42" spans="1:116" ht="20.25" customHeight="1" x14ac:dyDescent="0.15">
      <c r="B42" s="218" t="s">
        <v>58</v>
      </c>
      <c r="C42" s="219"/>
      <c r="D42" s="239"/>
      <c r="E42" s="638" t="s">
        <v>60</v>
      </c>
      <c r="F42" s="639"/>
      <c r="G42" s="639"/>
      <c r="H42" s="639"/>
      <c r="I42" s="639"/>
      <c r="J42" s="639"/>
      <c r="K42" s="639"/>
      <c r="L42" s="639"/>
      <c r="M42" s="639"/>
      <c r="N42" s="639"/>
      <c r="O42" s="639"/>
      <c r="P42" s="640"/>
      <c r="Q42" s="644">
        <f>AS41/10000</f>
        <v>63</v>
      </c>
      <c r="R42" s="510"/>
      <c r="S42" s="510"/>
      <c r="T42" s="510"/>
      <c r="U42" s="510">
        <f>AW41/10000</f>
        <v>19</v>
      </c>
      <c r="V42" s="510"/>
      <c r="W42" s="510"/>
      <c r="X42" s="510"/>
      <c r="Y42" s="510">
        <f>BE41/10000</f>
        <v>17</v>
      </c>
      <c r="Z42" s="510"/>
      <c r="AA42" s="510"/>
      <c r="AB42" s="646"/>
      <c r="AJ42" s="497"/>
      <c r="AK42" s="497"/>
      <c r="AL42" s="497"/>
      <c r="AM42" s="498"/>
      <c r="AN42" s="499"/>
      <c r="AO42" s="500"/>
      <c r="AP42" s="219"/>
      <c r="AQ42" s="219"/>
      <c r="AR42" s="219"/>
      <c r="AS42" s="226"/>
      <c r="AT42" s="226"/>
      <c r="AU42" s="226"/>
      <c r="AV42" s="226"/>
      <c r="AW42" s="223"/>
      <c r="AX42" s="224"/>
      <c r="AY42" s="224"/>
      <c r="AZ42" s="224"/>
      <c r="BA42" s="224"/>
      <c r="BB42" s="224"/>
      <c r="BC42" s="224"/>
      <c r="BD42" s="225"/>
      <c r="BE42" s="226"/>
      <c r="BF42" s="226"/>
      <c r="BG42" s="226"/>
      <c r="BH42" s="226"/>
      <c r="BM42" s="219"/>
      <c r="BN42" s="219"/>
      <c r="BO42" s="219"/>
      <c r="BP42" s="219"/>
      <c r="BQ42" s="473"/>
      <c r="BR42" s="473"/>
      <c r="BS42" s="473"/>
      <c r="BT42" s="473"/>
      <c r="BU42" s="473"/>
      <c r="BV42" s="473"/>
      <c r="BW42" s="473"/>
      <c r="BX42" s="496"/>
      <c r="BY42" s="496"/>
      <c r="BZ42" s="496"/>
      <c r="CA42" s="252"/>
      <c r="CB42" s="252"/>
      <c r="CC42" s="252"/>
    </row>
    <row r="43" spans="1:116" ht="20.25" customHeight="1" thickBot="1" x14ac:dyDescent="0.2">
      <c r="B43" s="544"/>
      <c r="C43" s="422"/>
      <c r="D43" s="545"/>
      <c r="E43" s="641"/>
      <c r="F43" s="642"/>
      <c r="G43" s="642"/>
      <c r="H43" s="642"/>
      <c r="I43" s="642"/>
      <c r="J43" s="642"/>
      <c r="K43" s="642"/>
      <c r="L43" s="642"/>
      <c r="M43" s="642"/>
      <c r="N43" s="642"/>
      <c r="O43" s="642"/>
      <c r="P43" s="643"/>
      <c r="Q43" s="645"/>
      <c r="R43" s="512"/>
      <c r="S43" s="512"/>
      <c r="T43" s="512"/>
      <c r="U43" s="512"/>
      <c r="V43" s="512"/>
      <c r="W43" s="512"/>
      <c r="X43" s="512"/>
      <c r="Y43" s="512"/>
      <c r="Z43" s="512"/>
      <c r="AA43" s="512"/>
      <c r="AB43" s="647"/>
      <c r="AJ43" s="361">
        <f>IF(AND(40&lt;=H26,H26&lt;=64),1,0)</f>
        <v>0</v>
      </c>
      <c r="AK43" s="361"/>
      <c r="AL43" s="361"/>
      <c r="AM43" s="490">
        <f>IF(AJ43=0,0,AB26)</f>
        <v>0</v>
      </c>
      <c r="AN43" s="491"/>
      <c r="AO43" s="492"/>
      <c r="AP43" s="13"/>
      <c r="BM43" s="546"/>
      <c r="BN43" s="546"/>
      <c r="BO43" s="546"/>
      <c r="BP43" s="546"/>
      <c r="BQ43" s="547"/>
      <c r="BR43" s="547"/>
      <c r="BS43" s="547"/>
      <c r="BT43" s="547"/>
      <c r="BU43" s="547"/>
      <c r="BV43" s="547"/>
      <c r="BW43" s="547"/>
      <c r="BX43" s="575"/>
      <c r="BY43" s="575"/>
      <c r="BZ43" s="575"/>
    </row>
    <row r="44" spans="1:116" ht="20.25" customHeight="1" thickBot="1" x14ac:dyDescent="0.2">
      <c r="AH44" s="15"/>
      <c r="AJ44" s="497"/>
      <c r="AK44" s="497"/>
      <c r="AL44" s="497"/>
      <c r="AM44" s="498"/>
      <c r="AN44" s="499"/>
      <c r="AO44" s="500"/>
      <c r="AP44" s="13"/>
    </row>
    <row r="45" spans="1:116" ht="20.25" customHeight="1" thickBot="1" x14ac:dyDescent="0.2">
      <c r="B45" s="12" t="s">
        <v>50</v>
      </c>
      <c r="AJ45" s="561">
        <f>SUM(AJ35:AL44)</f>
        <v>0</v>
      </c>
      <c r="AK45" s="562"/>
      <c r="AL45" s="563"/>
      <c r="AM45" s="567">
        <f>SUM(AM35:AO44)</f>
        <v>0</v>
      </c>
      <c r="AN45" s="568"/>
      <c r="AO45" s="569"/>
    </row>
    <row r="46" spans="1:116" ht="19.5" customHeight="1" thickBot="1" x14ac:dyDescent="0.2">
      <c r="B46" s="487"/>
      <c r="C46" s="488"/>
      <c r="D46" s="489"/>
      <c r="E46" s="525" t="s">
        <v>37</v>
      </c>
      <c r="F46" s="152"/>
      <c r="G46" s="153"/>
      <c r="H46" s="151" t="s">
        <v>38</v>
      </c>
      <c r="I46" s="152"/>
      <c r="J46" s="153"/>
      <c r="K46" s="151" t="s">
        <v>39</v>
      </c>
      <c r="L46" s="152"/>
      <c r="M46" s="152"/>
      <c r="N46" s="693" t="s">
        <v>51</v>
      </c>
      <c r="O46" s="694"/>
      <c r="P46" s="695"/>
      <c r="R46" s="12" t="str">
        <f>"令和"&amp;BD32&amp;"年度"</f>
        <v>令和3年度</v>
      </c>
      <c r="AJ46" s="564"/>
      <c r="AK46" s="565"/>
      <c r="AL46" s="566"/>
      <c r="AM46" s="570"/>
      <c r="AN46" s="571"/>
      <c r="AO46" s="572"/>
    </row>
    <row r="47" spans="1:116" ht="20.25" customHeight="1" x14ac:dyDescent="0.15">
      <c r="B47" s="656" t="s">
        <v>55</v>
      </c>
      <c r="C47" s="657"/>
      <c r="D47" s="658"/>
      <c r="E47" s="539">
        <f>IF($O$30&lt;0,0,$O$30*AS35)</f>
        <v>0</v>
      </c>
      <c r="F47" s="540"/>
      <c r="G47" s="540"/>
      <c r="H47" s="541">
        <f>IF($O$30&lt;0,0,$O$30*AW35)</f>
        <v>0</v>
      </c>
      <c r="I47" s="542"/>
      <c r="J47" s="543"/>
      <c r="K47" s="540">
        <f>IF(AJ45=0,0,IF($AM$45&lt;=0,0,$AM$45*BE35))</f>
        <v>0</v>
      </c>
      <c r="L47" s="540"/>
      <c r="M47" s="541"/>
      <c r="N47" s="660">
        <f>SUM(E47:M47)</f>
        <v>0</v>
      </c>
      <c r="O47" s="116"/>
      <c r="P47" s="117"/>
      <c r="R47" s="12" t="s">
        <v>52</v>
      </c>
      <c r="S47" s="16"/>
      <c r="T47" s="16"/>
      <c r="U47" s="16"/>
      <c r="V47" s="16"/>
      <c r="W47" s="16"/>
      <c r="X47" s="16"/>
      <c r="Y47" s="16"/>
      <c r="Z47" s="16"/>
      <c r="AA47" s="16"/>
    </row>
    <row r="48" spans="1:116" ht="18.75" customHeight="1" x14ac:dyDescent="0.15">
      <c r="A48" s="2" t="str">
        <f>IF(OR(E10="※",E11="※",E12="※"),"※","")</f>
        <v>※</v>
      </c>
      <c r="B48" s="163" t="s">
        <v>56</v>
      </c>
      <c r="C48" s="164"/>
      <c r="D48" s="165"/>
      <c r="E48" s="166">
        <f>IF($F$30&lt;0,0,$F$30*AS37)</f>
        <v>124000</v>
      </c>
      <c r="F48" s="167"/>
      <c r="G48" s="167"/>
      <c r="H48" s="168">
        <f>IF($F$30&lt;0,0,$F$30*AW37)</f>
        <v>42000</v>
      </c>
      <c r="I48" s="169"/>
      <c r="J48" s="170"/>
      <c r="K48" s="167">
        <f>IF(AJ45=0,0,AJ45*BE37)</f>
        <v>0</v>
      </c>
      <c r="L48" s="167"/>
      <c r="M48" s="168"/>
      <c r="N48" s="648">
        <f>SUM(E48:M48)</f>
        <v>166000</v>
      </c>
      <c r="O48" s="119"/>
      <c r="P48" s="120"/>
      <c r="U48" s="502">
        <f>N51</f>
        <v>191200</v>
      </c>
      <c r="V48" s="503"/>
      <c r="W48" s="503"/>
      <c r="X48" s="503"/>
      <c r="Y48" s="503"/>
      <c r="Z48" s="154" t="s">
        <v>53</v>
      </c>
      <c r="AA48" s="154"/>
      <c r="AB48" s="154"/>
      <c r="AC48" s="154"/>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row>
    <row r="49" spans="1:116" ht="18.75" customHeight="1" thickBot="1" x14ac:dyDescent="0.2">
      <c r="A49" s="2" t="str">
        <f>IF(OR(E10="※",E11="※",E12="※"),"※","")</f>
        <v>※</v>
      </c>
      <c r="B49" s="155" t="s">
        <v>57</v>
      </c>
      <c r="C49" s="156"/>
      <c r="D49" s="157"/>
      <c r="E49" s="158">
        <f>IF($F$30=0,0,AS39)</f>
        <v>20400</v>
      </c>
      <c r="F49" s="159"/>
      <c r="G49" s="159"/>
      <c r="H49" s="160">
        <f>IF($F$30=0,0,AW39)</f>
        <v>4800</v>
      </c>
      <c r="I49" s="161"/>
      <c r="J49" s="162"/>
      <c r="K49" s="159">
        <f>IF(AJ45=0,0,BE39)</f>
        <v>0</v>
      </c>
      <c r="L49" s="159"/>
      <c r="M49" s="160"/>
      <c r="N49" s="659">
        <f>SUM(E49:M49)</f>
        <v>25200</v>
      </c>
      <c r="O49" s="122"/>
      <c r="P49" s="123"/>
      <c r="U49" s="504"/>
      <c r="V49" s="504"/>
      <c r="W49" s="504"/>
      <c r="X49" s="504"/>
      <c r="Y49" s="504"/>
      <c r="Z49" s="154"/>
      <c r="AA49" s="154"/>
      <c r="AB49" s="154"/>
      <c r="AC49" s="154"/>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row>
    <row r="50" spans="1:116" ht="18.75" customHeight="1" thickTop="1" thickBot="1" x14ac:dyDescent="0.2">
      <c r="B50" s="106" t="s">
        <v>51</v>
      </c>
      <c r="C50" s="661"/>
      <c r="D50" s="662"/>
      <c r="E50" s="663">
        <f>SUM(E47:G49)</f>
        <v>144400</v>
      </c>
      <c r="F50" s="664"/>
      <c r="G50" s="665"/>
      <c r="H50" s="666">
        <f>SUM(H47:J49)</f>
        <v>46800</v>
      </c>
      <c r="I50" s="667"/>
      <c r="J50" s="668"/>
      <c r="K50" s="669">
        <f>SUM(K47:M49)</f>
        <v>0</v>
      </c>
      <c r="L50" s="664"/>
      <c r="M50" s="664"/>
      <c r="N50" s="670">
        <f>SUM(E50:M50)</f>
        <v>191200</v>
      </c>
      <c r="O50" s="125"/>
      <c r="P50" s="126"/>
      <c r="U50" s="17" t="str">
        <f>"（ひと月あたり　　約 "&amp;TEXT(ROUNDUP(U48/12,-3),"#,##0"&amp;"円）")</f>
        <v>（ひと月あたり　　約 16,000円)</v>
      </c>
      <c r="V50" s="17"/>
      <c r="W50" s="17"/>
      <c r="X50" s="17"/>
      <c r="Y50" s="17"/>
      <c r="Z50" s="17"/>
      <c r="AA50" s="17"/>
      <c r="AB50" s="17"/>
      <c r="AC50" s="22"/>
      <c r="AD50" s="22"/>
    </row>
    <row r="51" spans="1:116" ht="18.75" customHeight="1" x14ac:dyDescent="0.15">
      <c r="B51" s="103" t="s">
        <v>54</v>
      </c>
      <c r="C51" s="104"/>
      <c r="D51" s="105"/>
      <c r="E51" s="671">
        <f>IF(E50&gt;AS41,AS41,ROUNDDOWN(E50,-2))</f>
        <v>144400</v>
      </c>
      <c r="F51" s="672"/>
      <c r="G51" s="673"/>
      <c r="H51" s="680">
        <f>IF(H50&gt;AW41,AW41,ROUNDDOWN(H50,-2))</f>
        <v>46800</v>
      </c>
      <c r="I51" s="672"/>
      <c r="J51" s="673"/>
      <c r="K51" s="680">
        <f>IF(K50&gt;BE41,BE41,ROUNDDOWN(K50,-2))</f>
        <v>0</v>
      </c>
      <c r="L51" s="672"/>
      <c r="M51" s="672"/>
      <c r="N51" s="683">
        <f>SUM(E51:M51)</f>
        <v>191200</v>
      </c>
      <c r="O51" s="684"/>
      <c r="P51" s="685"/>
      <c r="U51" s="17"/>
      <c r="V51" s="17"/>
      <c r="W51" s="17"/>
      <c r="X51" s="17"/>
      <c r="Y51" s="17"/>
      <c r="Z51" s="17"/>
      <c r="AA51" s="17"/>
      <c r="AB51" s="17"/>
      <c r="AC51" s="22"/>
      <c r="AD51" s="22"/>
    </row>
    <row r="52" spans="1:116" ht="18.75" customHeight="1" x14ac:dyDescent="0.15">
      <c r="B52" s="106"/>
      <c r="C52" s="107"/>
      <c r="D52" s="108"/>
      <c r="E52" s="674"/>
      <c r="F52" s="675"/>
      <c r="G52" s="676"/>
      <c r="H52" s="681"/>
      <c r="I52" s="675"/>
      <c r="J52" s="676"/>
      <c r="K52" s="681"/>
      <c r="L52" s="675"/>
      <c r="M52" s="675"/>
      <c r="N52" s="686"/>
      <c r="O52" s="687"/>
      <c r="P52" s="688"/>
      <c r="R52" s="692" t="s">
        <v>59</v>
      </c>
      <c r="S52" s="692"/>
      <c r="T52" s="692"/>
      <c r="U52" s="692"/>
      <c r="V52" s="692"/>
      <c r="W52" s="692"/>
      <c r="X52" s="692"/>
      <c r="Y52" s="692"/>
      <c r="Z52" s="692"/>
      <c r="AA52" s="692"/>
      <c r="AB52" s="692"/>
      <c r="AC52" s="692"/>
      <c r="AD52" s="692"/>
      <c r="AE52" s="17"/>
    </row>
    <row r="53" spans="1:116" ht="18.75" customHeight="1" thickBot="1" x14ac:dyDescent="0.2">
      <c r="B53" s="109"/>
      <c r="C53" s="110"/>
      <c r="D53" s="111"/>
      <c r="E53" s="677"/>
      <c r="F53" s="678"/>
      <c r="G53" s="679"/>
      <c r="H53" s="682"/>
      <c r="I53" s="678"/>
      <c r="J53" s="679"/>
      <c r="K53" s="682"/>
      <c r="L53" s="678"/>
      <c r="M53" s="678"/>
      <c r="N53" s="689"/>
      <c r="O53" s="690"/>
      <c r="P53" s="691"/>
      <c r="Q53" s="18"/>
      <c r="R53" s="692"/>
      <c r="S53" s="692"/>
      <c r="T53" s="692"/>
      <c r="U53" s="692"/>
      <c r="V53" s="692"/>
      <c r="W53" s="692"/>
      <c r="X53" s="692"/>
      <c r="Y53" s="692"/>
      <c r="Z53" s="692"/>
      <c r="AA53" s="692"/>
      <c r="AB53" s="692"/>
      <c r="AC53" s="692"/>
      <c r="AD53" s="692"/>
      <c r="AE53" s="17"/>
    </row>
    <row r="54" spans="1:116" ht="18.75" customHeight="1" x14ac:dyDescent="0.15">
      <c r="Q54" s="18"/>
      <c r="R54" s="692"/>
      <c r="S54" s="692"/>
      <c r="T54" s="692"/>
      <c r="U54" s="692"/>
      <c r="V54" s="692"/>
      <c r="W54" s="692"/>
      <c r="X54" s="692"/>
      <c r="Y54" s="692"/>
      <c r="Z54" s="692"/>
      <c r="AA54" s="692"/>
      <c r="AB54" s="692"/>
      <c r="AC54" s="692"/>
      <c r="AD54" s="692"/>
      <c r="AE54" s="17"/>
    </row>
    <row r="55" spans="1:116" ht="18.75" customHeight="1" x14ac:dyDescent="0.15">
      <c r="AC55" s="18"/>
      <c r="AD55" s="18"/>
      <c r="AE55" s="17"/>
    </row>
    <row r="56" spans="1:116" ht="18.75" customHeight="1" x14ac:dyDescent="0.15">
      <c r="AC56" s="18"/>
      <c r="AD56" s="18"/>
      <c r="AE56" s="19"/>
      <c r="AF56" s="19"/>
    </row>
    <row r="57" spans="1:116" ht="26.25" customHeight="1" x14ac:dyDescent="0.15">
      <c r="AC57" s="19"/>
      <c r="AD57" s="19"/>
      <c r="AE57" s="19"/>
      <c r="AF57" s="19"/>
    </row>
  </sheetData>
  <mergeCells count="484">
    <mergeCell ref="R52:AD54"/>
    <mergeCell ref="B50:D50"/>
    <mergeCell ref="E50:G50"/>
    <mergeCell ref="H50:J50"/>
    <mergeCell ref="K50:M50"/>
    <mergeCell ref="N50:P50"/>
    <mergeCell ref="B51:D53"/>
    <mergeCell ref="E51:G53"/>
    <mergeCell ref="H51:J53"/>
    <mergeCell ref="K51:M53"/>
    <mergeCell ref="N51:P53"/>
    <mergeCell ref="B47:D47"/>
    <mergeCell ref="E47:G47"/>
    <mergeCell ref="H47:J47"/>
    <mergeCell ref="K47:M47"/>
    <mergeCell ref="N47:P47"/>
    <mergeCell ref="Z48:AC49"/>
    <mergeCell ref="B49:D49"/>
    <mergeCell ref="E49:G49"/>
    <mergeCell ref="H49:J49"/>
    <mergeCell ref="K49:M49"/>
    <mergeCell ref="N49:P49"/>
    <mergeCell ref="B48:D48"/>
    <mergeCell ref="E48:G48"/>
    <mergeCell ref="H48:J48"/>
    <mergeCell ref="K48:M48"/>
    <mergeCell ref="N48:P48"/>
    <mergeCell ref="U48:Y49"/>
    <mergeCell ref="BX43:BZ43"/>
    <mergeCell ref="AJ45:AL46"/>
    <mergeCell ref="AM45:AO46"/>
    <mergeCell ref="B42:D43"/>
    <mergeCell ref="E42:P43"/>
    <mergeCell ref="Q42:T43"/>
    <mergeCell ref="U42:X43"/>
    <mergeCell ref="Y42:AB43"/>
    <mergeCell ref="AJ43:AL44"/>
    <mergeCell ref="BQ40:BW42"/>
    <mergeCell ref="BX40:BZ42"/>
    <mergeCell ref="B46:D46"/>
    <mergeCell ref="E46:G46"/>
    <mergeCell ref="H46:J46"/>
    <mergeCell ref="K46:M46"/>
    <mergeCell ref="N46:P46"/>
    <mergeCell ref="B40:D41"/>
    <mergeCell ref="E40:I41"/>
    <mergeCell ref="J40:P41"/>
    <mergeCell ref="Q40:T41"/>
    <mergeCell ref="U40:X41"/>
    <mergeCell ref="Y40:AB41"/>
    <mergeCell ref="AM43:AO44"/>
    <mergeCell ref="BM43:BP43"/>
    <mergeCell ref="BQ43:BW43"/>
    <mergeCell ref="BM40:BP42"/>
    <mergeCell ref="Q36:T37"/>
    <mergeCell ref="U36:X37"/>
    <mergeCell ref="Y36:AB37"/>
    <mergeCell ref="AJ37:AL38"/>
    <mergeCell ref="CA40:CC42"/>
    <mergeCell ref="AJ41:AL42"/>
    <mergeCell ref="AM41:AO42"/>
    <mergeCell ref="AP41:AR42"/>
    <mergeCell ref="AS41:AV42"/>
    <mergeCell ref="AW41:BD42"/>
    <mergeCell ref="BE41:BH42"/>
    <mergeCell ref="AJ35:AL36"/>
    <mergeCell ref="AM35:AO36"/>
    <mergeCell ref="AP35:AR36"/>
    <mergeCell ref="AS35:AV36"/>
    <mergeCell ref="AW35:BD36"/>
    <mergeCell ref="CA37:CC39"/>
    <mergeCell ref="AS37:AV38"/>
    <mergeCell ref="AW37:BD38"/>
    <mergeCell ref="BE37:BH38"/>
    <mergeCell ref="BM37:BP39"/>
    <mergeCell ref="BQ37:BW39"/>
    <mergeCell ref="BX37:BZ39"/>
    <mergeCell ref="AS39:AV40"/>
    <mergeCell ref="AW39:BD40"/>
    <mergeCell ref="BE39:BH40"/>
    <mergeCell ref="DF32:DH32"/>
    <mergeCell ref="DI32:DK32"/>
    <mergeCell ref="AJ33:AL34"/>
    <mergeCell ref="AM33:AO34"/>
    <mergeCell ref="AP33:AR34"/>
    <mergeCell ref="AS33:BH33"/>
    <mergeCell ref="BQ34:BW36"/>
    <mergeCell ref="BX34:BZ36"/>
    <mergeCell ref="CA34:CC36"/>
    <mergeCell ref="AJ39:AL40"/>
    <mergeCell ref="AM39:AO40"/>
    <mergeCell ref="AP39:AR40"/>
    <mergeCell ref="B34:P35"/>
    <mergeCell ref="Q34:AB34"/>
    <mergeCell ref="AS34:AV34"/>
    <mergeCell ref="AW34:BD34"/>
    <mergeCell ref="BE34:BH34"/>
    <mergeCell ref="BM34:BP36"/>
    <mergeCell ref="BE35:BH36"/>
    <mergeCell ref="B36:D37"/>
    <mergeCell ref="E36:I37"/>
    <mergeCell ref="J36:P37"/>
    <mergeCell ref="AM37:AO38"/>
    <mergeCell ref="AP37:AR38"/>
    <mergeCell ref="Q35:T35"/>
    <mergeCell ref="U35:X35"/>
    <mergeCell ref="Y35:AB35"/>
    <mergeCell ref="B38:D39"/>
    <mergeCell ref="E38:I39"/>
    <mergeCell ref="J38:P39"/>
    <mergeCell ref="Q38:T39"/>
    <mergeCell ref="U38:X39"/>
    <mergeCell ref="Y38:AB39"/>
    <mergeCell ref="V32:Z32"/>
    <mergeCell ref="AS32:BC32"/>
    <mergeCell ref="BD32:BK32"/>
    <mergeCell ref="CK32:CM32"/>
    <mergeCell ref="CO32:CQ32"/>
    <mergeCell ref="CR32:CV32"/>
    <mergeCell ref="DI30:DK30"/>
    <mergeCell ref="CK31:CM31"/>
    <mergeCell ref="CO31:CQ31"/>
    <mergeCell ref="CR31:CV31"/>
    <mergeCell ref="CW31:CY31"/>
    <mergeCell ref="CZ31:DB31"/>
    <mergeCell ref="DC31:DE31"/>
    <mergeCell ref="DF31:DH31"/>
    <mergeCell ref="DI31:DK31"/>
    <mergeCell ref="CO30:CQ30"/>
    <mergeCell ref="CR30:CV30"/>
    <mergeCell ref="CW30:CY30"/>
    <mergeCell ref="CZ30:DB30"/>
    <mergeCell ref="DC30:DE30"/>
    <mergeCell ref="DF30:DH30"/>
    <mergeCell ref="CW32:CY32"/>
    <mergeCell ref="CZ32:DB32"/>
    <mergeCell ref="DC32:DE32"/>
    <mergeCell ref="DI28:DK28"/>
    <mergeCell ref="CK29:CM29"/>
    <mergeCell ref="CO29:CQ29"/>
    <mergeCell ref="CR29:CV29"/>
    <mergeCell ref="CW29:CY29"/>
    <mergeCell ref="CZ29:DB29"/>
    <mergeCell ref="DC29:DE29"/>
    <mergeCell ref="DF29:DH29"/>
    <mergeCell ref="DI29:DK29"/>
    <mergeCell ref="CR27:CV27"/>
    <mergeCell ref="CW27:CY27"/>
    <mergeCell ref="CZ27:DB27"/>
    <mergeCell ref="DC27:DE27"/>
    <mergeCell ref="DF27:DH27"/>
    <mergeCell ref="B30:E31"/>
    <mergeCell ref="F30:G31"/>
    <mergeCell ref="H30:H31"/>
    <mergeCell ref="I30:N31"/>
    <mergeCell ref="O30:R31"/>
    <mergeCell ref="S30:S31"/>
    <mergeCell ref="DF28:DH28"/>
    <mergeCell ref="AP28:AS28"/>
    <mergeCell ref="AT28:AW28"/>
    <mergeCell ref="AX28:BA28"/>
    <mergeCell ref="CK28:CM28"/>
    <mergeCell ref="CO28:CQ28"/>
    <mergeCell ref="CR28:CV28"/>
    <mergeCell ref="CW28:CY28"/>
    <mergeCell ref="CZ28:DB28"/>
    <mergeCell ref="DC28:DE28"/>
    <mergeCell ref="AO26:AO27"/>
    <mergeCell ref="AP26:AS27"/>
    <mergeCell ref="AT26:AW27"/>
    <mergeCell ref="DI26:DK26"/>
    <mergeCell ref="BC27:BE27"/>
    <mergeCell ref="BG27:BI27"/>
    <mergeCell ref="BJ27:BR27"/>
    <mergeCell ref="BS27:BU27"/>
    <mergeCell ref="BV27:BX27"/>
    <mergeCell ref="BY27:CA27"/>
    <mergeCell ref="CB27:CD27"/>
    <mergeCell ref="CE27:CG27"/>
    <mergeCell ref="CK27:CM27"/>
    <mergeCell ref="CO26:CQ26"/>
    <mergeCell ref="CR26:CV26"/>
    <mergeCell ref="CW26:CY26"/>
    <mergeCell ref="CZ26:DB26"/>
    <mergeCell ref="DC26:DE26"/>
    <mergeCell ref="DF26:DH26"/>
    <mergeCell ref="BJ26:BR26"/>
    <mergeCell ref="BS26:BU26"/>
    <mergeCell ref="BV26:BX26"/>
    <mergeCell ref="BY26:CA26"/>
    <mergeCell ref="CB26:CD26"/>
    <mergeCell ref="CE26:CG26"/>
    <mergeCell ref="DI27:DK27"/>
    <mergeCell ref="CO27:CQ27"/>
    <mergeCell ref="AX26:BA27"/>
    <mergeCell ref="BC26:BE26"/>
    <mergeCell ref="BG26:BI26"/>
    <mergeCell ref="AB26:AD27"/>
    <mergeCell ref="AJ26:AJ27"/>
    <mergeCell ref="AK26:AK27"/>
    <mergeCell ref="AL26:AL27"/>
    <mergeCell ref="AM26:AM27"/>
    <mergeCell ref="AN26:AN27"/>
    <mergeCell ref="DI25:DK25"/>
    <mergeCell ref="B26:D27"/>
    <mergeCell ref="E26:F27"/>
    <mergeCell ref="G26:G27"/>
    <mergeCell ref="H26:I27"/>
    <mergeCell ref="J26:J27"/>
    <mergeCell ref="K26:N27"/>
    <mergeCell ref="P26:S27"/>
    <mergeCell ref="U26:V27"/>
    <mergeCell ref="X26:Z27"/>
    <mergeCell ref="CO25:CQ25"/>
    <mergeCell ref="CR25:CV25"/>
    <mergeCell ref="CW25:CY25"/>
    <mergeCell ref="CZ25:DB25"/>
    <mergeCell ref="DC25:DE25"/>
    <mergeCell ref="DF25:DH25"/>
    <mergeCell ref="BV25:BX25"/>
    <mergeCell ref="BY25:CA25"/>
    <mergeCell ref="CB25:CD25"/>
    <mergeCell ref="CE25:CG25"/>
    <mergeCell ref="CI25:CJ32"/>
    <mergeCell ref="CK25:CM25"/>
    <mergeCell ref="CK26:CM26"/>
    <mergeCell ref="CK30:CM30"/>
    <mergeCell ref="CR24:CV24"/>
    <mergeCell ref="CW24:CY24"/>
    <mergeCell ref="CZ24:DB24"/>
    <mergeCell ref="DC24:DE24"/>
    <mergeCell ref="DF24:DH24"/>
    <mergeCell ref="DI24:DK24"/>
    <mergeCell ref="BV24:BX24"/>
    <mergeCell ref="BY24:CA24"/>
    <mergeCell ref="CB24:CD24"/>
    <mergeCell ref="CE24:CG24"/>
    <mergeCell ref="CK24:CM24"/>
    <mergeCell ref="CO24:CQ24"/>
    <mergeCell ref="AT24:AW25"/>
    <mergeCell ref="AX24:BA25"/>
    <mergeCell ref="BC24:BE24"/>
    <mergeCell ref="BG24:BI24"/>
    <mergeCell ref="BJ24:BR24"/>
    <mergeCell ref="BS24:BU24"/>
    <mergeCell ref="BC25:BE25"/>
    <mergeCell ref="BG25:BI25"/>
    <mergeCell ref="BJ25:BR25"/>
    <mergeCell ref="BS25:BU25"/>
    <mergeCell ref="AN24:AN25"/>
    <mergeCell ref="AO24:AO25"/>
    <mergeCell ref="AP24:AS25"/>
    <mergeCell ref="K24:N25"/>
    <mergeCell ref="P24:S25"/>
    <mergeCell ref="U24:V25"/>
    <mergeCell ref="X24:Z25"/>
    <mergeCell ref="AB24:AD25"/>
    <mergeCell ref="AJ24:AJ25"/>
    <mergeCell ref="DF23:DH23"/>
    <mergeCell ref="DI23:DK23"/>
    <mergeCell ref="B24:D25"/>
    <mergeCell ref="E24:F25"/>
    <mergeCell ref="G24:G25"/>
    <mergeCell ref="H24:I25"/>
    <mergeCell ref="J24:J25"/>
    <mergeCell ref="BY23:CA23"/>
    <mergeCell ref="CB23:CD23"/>
    <mergeCell ref="CE23:CG23"/>
    <mergeCell ref="CK23:CM23"/>
    <mergeCell ref="CO23:CQ23"/>
    <mergeCell ref="CR23:CV23"/>
    <mergeCell ref="AX22:BA23"/>
    <mergeCell ref="AL22:AL23"/>
    <mergeCell ref="AM22:AM23"/>
    <mergeCell ref="AN22:AN23"/>
    <mergeCell ref="AO22:AO23"/>
    <mergeCell ref="AP22:AS23"/>
    <mergeCell ref="AT22:AW23"/>
    <mergeCell ref="P22:S23"/>
    <mergeCell ref="AK24:AK25"/>
    <mergeCell ref="AL24:AL25"/>
    <mergeCell ref="AM24:AM25"/>
    <mergeCell ref="CR22:CV22"/>
    <mergeCell ref="BC22:BE22"/>
    <mergeCell ref="BG22:BI22"/>
    <mergeCell ref="BJ22:BR22"/>
    <mergeCell ref="BS22:BU22"/>
    <mergeCell ref="BV22:BX22"/>
    <mergeCell ref="CW23:CY23"/>
    <mergeCell ref="CZ23:DB23"/>
    <mergeCell ref="DC23:DE23"/>
    <mergeCell ref="AJ22:AJ23"/>
    <mergeCell ref="AK22:AK23"/>
    <mergeCell ref="CZ21:DB21"/>
    <mergeCell ref="DC21:DE21"/>
    <mergeCell ref="DF21:DH21"/>
    <mergeCell ref="DI21:DK21"/>
    <mergeCell ref="CO21:CQ21"/>
    <mergeCell ref="CR21:CV21"/>
    <mergeCell ref="CW21:CY21"/>
    <mergeCell ref="CW22:CY22"/>
    <mergeCell ref="CZ22:DB22"/>
    <mergeCell ref="DC22:DE22"/>
    <mergeCell ref="DF22:DH22"/>
    <mergeCell ref="DI22:DK22"/>
    <mergeCell ref="BC23:BE23"/>
    <mergeCell ref="BG23:BI23"/>
    <mergeCell ref="BJ23:BR23"/>
    <mergeCell ref="BS23:BU23"/>
    <mergeCell ref="BV23:BX23"/>
    <mergeCell ref="BY22:CA22"/>
    <mergeCell ref="CB22:CD22"/>
    <mergeCell ref="CE22:CG22"/>
    <mergeCell ref="CK22:CM22"/>
    <mergeCell ref="CO22:CQ22"/>
    <mergeCell ref="B22:D23"/>
    <mergeCell ref="E22:F23"/>
    <mergeCell ref="G22:G23"/>
    <mergeCell ref="H22:I23"/>
    <mergeCell ref="J22:J23"/>
    <mergeCell ref="K22:N23"/>
    <mergeCell ref="CB21:CD21"/>
    <mergeCell ref="CE21:CG21"/>
    <mergeCell ref="CK21:CM21"/>
    <mergeCell ref="AM20:AM21"/>
    <mergeCell ref="AN20:AN21"/>
    <mergeCell ref="AO20:AO21"/>
    <mergeCell ref="AP20:AS21"/>
    <mergeCell ref="AT20:AW21"/>
    <mergeCell ref="AX20:BA21"/>
    <mergeCell ref="U20:V21"/>
    <mergeCell ref="X20:Z21"/>
    <mergeCell ref="AB20:AD21"/>
    <mergeCell ref="AJ20:AJ21"/>
    <mergeCell ref="AK20:AK21"/>
    <mergeCell ref="AL20:AL21"/>
    <mergeCell ref="U22:V23"/>
    <mergeCell ref="X22:Z23"/>
    <mergeCell ref="AB22:AD23"/>
    <mergeCell ref="DC20:DE20"/>
    <mergeCell ref="DF20:DH20"/>
    <mergeCell ref="DI20:DK20"/>
    <mergeCell ref="BC21:BE21"/>
    <mergeCell ref="BG21:BI21"/>
    <mergeCell ref="BJ21:BR21"/>
    <mergeCell ref="BS21:BU21"/>
    <mergeCell ref="BV21:BX21"/>
    <mergeCell ref="BY21:CA21"/>
    <mergeCell ref="CB20:CD20"/>
    <mergeCell ref="CE20:CG20"/>
    <mergeCell ref="CK20:CM20"/>
    <mergeCell ref="CO20:CQ20"/>
    <mergeCell ref="CR20:CV20"/>
    <mergeCell ref="CW20:CY20"/>
    <mergeCell ref="BC20:BE20"/>
    <mergeCell ref="BG20:BI20"/>
    <mergeCell ref="BJ20:BR20"/>
    <mergeCell ref="BS20:BU20"/>
    <mergeCell ref="BV20:BX20"/>
    <mergeCell ref="BY20:CA20"/>
    <mergeCell ref="DF19:DH19"/>
    <mergeCell ref="DI19:DK19"/>
    <mergeCell ref="B20:D21"/>
    <mergeCell ref="E20:F21"/>
    <mergeCell ref="G20:G21"/>
    <mergeCell ref="H20:I21"/>
    <mergeCell ref="J20:J21"/>
    <mergeCell ref="K20:N21"/>
    <mergeCell ref="P20:S21"/>
    <mergeCell ref="CE19:CG19"/>
    <mergeCell ref="CK19:CM19"/>
    <mergeCell ref="CO19:CQ19"/>
    <mergeCell ref="CR19:CV19"/>
    <mergeCell ref="CW19:CY19"/>
    <mergeCell ref="CZ19:DB19"/>
    <mergeCell ref="AN18:AN19"/>
    <mergeCell ref="AO18:AO19"/>
    <mergeCell ref="AP18:AS19"/>
    <mergeCell ref="AT18:AW19"/>
    <mergeCell ref="AX18:BA19"/>
    <mergeCell ref="X18:Z19"/>
    <mergeCell ref="AB18:AD19"/>
    <mergeCell ref="AJ18:AJ19"/>
    <mergeCell ref="CZ20:DB20"/>
    <mergeCell ref="DC18:DE18"/>
    <mergeCell ref="DF18:DH18"/>
    <mergeCell ref="DI18:DK18"/>
    <mergeCell ref="BC19:BE19"/>
    <mergeCell ref="BG19:BI19"/>
    <mergeCell ref="BJ19:BR19"/>
    <mergeCell ref="BS19:BU19"/>
    <mergeCell ref="BV19:BX19"/>
    <mergeCell ref="BY19:CA19"/>
    <mergeCell ref="CB19:CD19"/>
    <mergeCell ref="CE18:CG18"/>
    <mergeCell ref="CK18:CM18"/>
    <mergeCell ref="CO18:CQ18"/>
    <mergeCell ref="CR18:CV18"/>
    <mergeCell ref="CW18:CY18"/>
    <mergeCell ref="CZ18:DB18"/>
    <mergeCell ref="BG18:BI18"/>
    <mergeCell ref="BJ18:BR18"/>
    <mergeCell ref="BS18:BU18"/>
    <mergeCell ref="BV18:BX18"/>
    <mergeCell ref="BY18:CA18"/>
    <mergeCell ref="CB18:CD18"/>
    <mergeCell ref="BC18:BE18"/>
    <mergeCell ref="DC19:DE19"/>
    <mergeCell ref="AK18:AK19"/>
    <mergeCell ref="AL18:AL19"/>
    <mergeCell ref="AM18:AM19"/>
    <mergeCell ref="DF17:DH17"/>
    <mergeCell ref="DI17:DK17"/>
    <mergeCell ref="B18:D19"/>
    <mergeCell ref="E18:F19"/>
    <mergeCell ref="G18:G19"/>
    <mergeCell ref="H18:I19"/>
    <mergeCell ref="J18:J19"/>
    <mergeCell ref="K18:N19"/>
    <mergeCell ref="P18:S19"/>
    <mergeCell ref="U18:V19"/>
    <mergeCell ref="CK17:CL17"/>
    <mergeCell ref="CO17:CQ17"/>
    <mergeCell ref="CR17:CV17"/>
    <mergeCell ref="CW17:CY17"/>
    <mergeCell ref="CZ17:DB17"/>
    <mergeCell ref="DC17:DE17"/>
    <mergeCell ref="AX16:BA17"/>
    <mergeCell ref="X16:AA17"/>
    <mergeCell ref="AB16:AE17"/>
    <mergeCell ref="AJ16:AL17"/>
    <mergeCell ref="AM16:AO17"/>
    <mergeCell ref="CW16:CY16"/>
    <mergeCell ref="CZ16:DB16"/>
    <mergeCell ref="DC16:DE16"/>
    <mergeCell ref="DF16:DH16"/>
    <mergeCell ref="BB16:BR16"/>
    <mergeCell ref="BS16:BU16"/>
    <mergeCell ref="BV16:BX16"/>
    <mergeCell ref="BY16:CA16"/>
    <mergeCell ref="CB16:CD16"/>
    <mergeCell ref="AP16:AS17"/>
    <mergeCell ref="AT16:AW17"/>
    <mergeCell ref="AP14:AS14"/>
    <mergeCell ref="AT14:AW14"/>
    <mergeCell ref="AX14:BA14"/>
    <mergeCell ref="CW14:DK14"/>
    <mergeCell ref="B16:D17"/>
    <mergeCell ref="E16:G17"/>
    <mergeCell ref="H16:J17"/>
    <mergeCell ref="K16:O17"/>
    <mergeCell ref="P16:S17"/>
    <mergeCell ref="U16:W17"/>
    <mergeCell ref="DI16:DK16"/>
    <mergeCell ref="BC17:BE17"/>
    <mergeCell ref="BG17:BI17"/>
    <mergeCell ref="BJ17:BR17"/>
    <mergeCell ref="BS17:BU17"/>
    <mergeCell ref="BV17:BX17"/>
    <mergeCell ref="BY17:CA17"/>
    <mergeCell ref="CB17:CD17"/>
    <mergeCell ref="CE17:CG17"/>
    <mergeCell ref="CI17:CJ24"/>
    <mergeCell ref="CE16:CG16"/>
    <mergeCell ref="CH16:CV16"/>
    <mergeCell ref="AP13:AS13"/>
    <mergeCell ref="AT13:AW13"/>
    <mergeCell ref="AX13:BA13"/>
    <mergeCell ref="AX9:BA9"/>
    <mergeCell ref="AP10:AS10"/>
    <mergeCell ref="AT10:AW10"/>
    <mergeCell ref="AX10:BA10"/>
    <mergeCell ref="AP11:AS11"/>
    <mergeCell ref="AT11:AW11"/>
    <mergeCell ref="AX11:BA11"/>
    <mergeCell ref="U1:Z1"/>
    <mergeCell ref="AJ3:AN3"/>
    <mergeCell ref="D4:AD4"/>
    <mergeCell ref="AJ4:AN5"/>
    <mergeCell ref="AP9:AS9"/>
    <mergeCell ref="AT9:AW9"/>
    <mergeCell ref="AP12:AS12"/>
    <mergeCell ref="AT12:AW12"/>
    <mergeCell ref="AX12:BA12"/>
  </mergeCells>
  <phoneticPr fontId="34"/>
  <pageMargins left="0.51181102362204722" right="0.51181102362204722" top="0.74803149606299213" bottom="0.7480314960629921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試算入力用</vt:lpstr>
      <vt:lpstr>試算～1000</vt:lpstr>
      <vt:lpstr>試算1000～2000</vt:lpstr>
      <vt:lpstr>試算2000～</vt:lpstr>
      <vt:lpstr>'試算～1000'!Print_Area</vt:lpstr>
      <vt:lpstr>'試算1000～2000'!Print_Area</vt:lpstr>
      <vt:lpstr>'試算2000～'!Print_Area</vt:lpstr>
      <vt:lpstr>試算入力用!Print_Area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H23005</dc:creator>
  <cp:lastModifiedBy>栗山　夏樹</cp:lastModifiedBy>
  <cp:lastPrinted>2026-03-18T07:09:16Z</cp:lastPrinted>
  <dcterms:created xsi:type="dcterms:W3CDTF">2012-07-26T05:00:33Z</dcterms:created>
  <dcterms:modified xsi:type="dcterms:W3CDTF">2026-04-13T05:07:07Z</dcterms:modified>
</cp:coreProperties>
</file>